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lcponlineeur.sharepoint.com/teams/PRSACOBC/Shared Documents/Templates/section 113/"/>
    </mc:Choice>
  </mc:AlternateContent>
  <xr:revisionPtr revIDLastSave="125" documentId="8_{BE2D24A7-68E5-48E0-81B5-C7E3511A6D62}" xr6:coauthVersionLast="47" xr6:coauthVersionMax="47" xr10:uidLastSave="{278843D4-BEC9-4ADC-9F0C-09DBF18D60A5}"/>
  <workbookProtection workbookAlgorithmName="SHA-512" workbookHashValue="pNRfE7fjTHLuKqOWkZ8uRHkPixHsRdXzXu7erQ0RKriQd2UAQgoOiS/VuxLzpRWg+xOzZchYVxNBsU4eyLowuQ==" workbookSaltValue="qNRyzvgW82D0fRrfTfV9NQ==" workbookSpinCount="100000" lockStructure="1"/>
  <bookViews>
    <workbookView xWindow="-120" yWindow="-120" windowWidth="29040" windowHeight="15720" xr2:uid="{4B2A314A-AEFF-4436-B312-2442B1706623}"/>
  </bookViews>
  <sheets>
    <sheet name="PRSA Transfer Form" sheetId="1" r:id="rId1"/>
    <sheet name="Blank Cells" sheetId="4" state="hidden" r:id="rId2"/>
    <sheet name="AMC" sheetId="2" state="hidden" r:id="rId3"/>
    <sheet name="Providers" sheetId="3" state="hidden" r:id="rId4"/>
    <sheet name="Aviva Comission" sheetId="5" state="hidden" r:id="rId5"/>
  </sheets>
  <definedNames>
    <definedName name="_xlnm._FilterDatabase" localSheetId="4" hidden="1">'Aviva Comission'!$L$2:$L$13</definedName>
    <definedName name="_xlnm.Print_Area" localSheetId="0">'PRSA Transfer Form'!$A$1:$J$104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 l="1"/>
  <c r="D26" i="1"/>
  <c r="L3" i="5"/>
  <c r="I55" i="1"/>
  <c r="G50" i="1"/>
  <c r="D24" i="1"/>
  <c r="I84" i="1"/>
  <c r="D53" i="1"/>
  <c r="D80" i="1"/>
  <c r="D78" i="1"/>
  <c r="M4" i="2"/>
  <c r="F21" i="2"/>
  <c r="E194" i="2"/>
  <c r="E193" i="2"/>
  <c r="E192" i="2"/>
  <c r="E191" i="2"/>
  <c r="E190" i="2"/>
  <c r="E189" i="2"/>
  <c r="E188" i="2"/>
  <c r="E187" i="2"/>
  <c r="E186" i="2"/>
  <c r="E185" i="2"/>
  <c r="D92" i="1"/>
  <c r="D79" i="1"/>
  <c r="D77" i="1"/>
  <c r="D76" i="1"/>
  <c r="D75" i="1"/>
  <c r="G44" i="1"/>
  <c r="G45" i="1"/>
  <c r="G46" i="1"/>
  <c r="G47" i="1"/>
  <c r="G48" i="1"/>
  <c r="G49" i="1"/>
  <c r="I59" i="1"/>
  <c r="I60" i="1"/>
  <c r="I61" i="1"/>
  <c r="I62" i="1"/>
  <c r="I63" i="1"/>
  <c r="I64" i="1"/>
  <c r="I58" i="1"/>
  <c r="D23" i="1"/>
  <c r="D88" i="1"/>
  <c r="D81" i="1" l="1"/>
  <c r="C6" i="4" s="1"/>
  <c r="B2" i="4"/>
  <c r="D2" i="4" s="1"/>
  <c r="H19" i="2"/>
  <c r="H18" i="2"/>
  <c r="H17" i="2"/>
  <c r="H16" i="2"/>
  <c r="H15" i="2"/>
  <c r="H14" i="2"/>
  <c r="H13" i="2"/>
  <c r="H12" i="2"/>
  <c r="H11" i="2"/>
  <c r="H10" i="2"/>
  <c r="B3" i="5"/>
  <c r="B4" i="5" s="1"/>
  <c r="B13"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A5" i="5"/>
  <c r="A6" i="5" s="1"/>
  <c r="B10" i="5" l="1"/>
  <c r="B11" i="5"/>
  <c r="B8" i="5"/>
  <c r="B9" i="5"/>
  <c r="B6" i="5"/>
  <c r="B7" i="5"/>
  <c r="B5" i="5"/>
  <c r="C1" i="5"/>
  <c r="A7" i="5"/>
  <c r="A8" i="5" s="1"/>
  <c r="A9" i="5" l="1"/>
  <c r="A10" i="5" l="1"/>
  <c r="A11" i="5" l="1"/>
  <c r="C13" i="5" l="1"/>
  <c r="D13" i="5" s="1"/>
  <c r="E13" i="5" s="1"/>
  <c r="G32" i="1" s="1"/>
  <c r="D21" i="1"/>
  <c r="I91" i="1"/>
  <c r="D90" i="1"/>
  <c r="C3" i="4" l="1"/>
  <c r="B3" i="4"/>
  <c r="D85" i="1"/>
  <c r="D3" i="4" l="1"/>
  <c r="C175" i="2"/>
  <c r="C176" i="2"/>
  <c r="C177" i="2"/>
  <c r="C178" i="2"/>
  <c r="C179" i="2"/>
  <c r="C180" i="2"/>
  <c r="C174" i="2"/>
  <c r="C169" i="2"/>
  <c r="C163" i="2"/>
  <c r="C155" i="2"/>
  <c r="C156" i="2"/>
  <c r="C157" i="2"/>
  <c r="C154" i="2"/>
  <c r="C144" i="2"/>
  <c r="C145" i="2"/>
  <c r="C146" i="2"/>
  <c r="C147" i="2"/>
  <c r="C148" i="2"/>
  <c r="C143" i="2"/>
  <c r="C134" i="2"/>
  <c r="C135" i="2"/>
  <c r="C136" i="2"/>
  <c r="C137" i="2"/>
  <c r="C133" i="2"/>
  <c r="D91" i="1" l="1"/>
  <c r="B7" i="4" l="1"/>
  <c r="C7" i="4"/>
  <c r="I34" i="1"/>
  <c r="E133" i="2"/>
  <c r="E180" i="2"/>
  <c r="E178" i="2"/>
  <c r="E177" i="2"/>
  <c r="E175" i="2"/>
  <c r="E174" i="2"/>
  <c r="E169" i="2"/>
  <c r="E155" i="2"/>
  <c r="E148" i="2"/>
  <c r="E147" i="2"/>
  <c r="E146" i="2"/>
  <c r="E136" i="2"/>
  <c r="E135" i="2"/>
  <c r="E134" i="2"/>
  <c r="E145" i="2"/>
  <c r="F2" i="3"/>
  <c r="C24" i="3" s="1"/>
  <c r="F1" i="3"/>
  <c r="D20" i="3" s="1"/>
  <c r="F42" i="1" s="1"/>
  <c r="G43" i="1" s="1"/>
  <c r="A22" i="3"/>
  <c r="A23" i="3" s="1"/>
  <c r="A24" i="3" s="1"/>
  <c r="E179" i="2"/>
  <c r="E176" i="2"/>
  <c r="E163" i="2"/>
  <c r="E157" i="2"/>
  <c r="E156" i="2"/>
  <c r="E154" i="2"/>
  <c r="E144" i="2"/>
  <c r="E143" i="2"/>
  <c r="E137" i="2"/>
  <c r="Q135" i="2"/>
  <c r="P135" i="2"/>
  <c r="O135" i="2"/>
  <c r="N135" i="2"/>
  <c r="M135" i="2"/>
  <c r="Q134" i="2"/>
  <c r="P134" i="2"/>
  <c r="O134" i="2"/>
  <c r="N134" i="2"/>
  <c r="M134" i="2"/>
  <c r="Q133" i="2"/>
  <c r="P133" i="2"/>
  <c r="O133" i="2"/>
  <c r="N133" i="2"/>
  <c r="M133" i="2"/>
  <c r="E127" i="2"/>
  <c r="E126" i="2"/>
  <c r="E125" i="2"/>
  <c r="E124" i="2"/>
  <c r="E123" i="2"/>
  <c r="E122" i="2"/>
  <c r="F121" i="2"/>
  <c r="E121" i="2"/>
  <c r="F120" i="2"/>
  <c r="E120" i="2"/>
  <c r="F119" i="2"/>
  <c r="E119" i="2"/>
  <c r="F118" i="2"/>
  <c r="E118" i="2"/>
  <c r="F114" i="2"/>
  <c r="E114" i="2"/>
  <c r="F113" i="2"/>
  <c r="E113" i="2"/>
  <c r="F112" i="2"/>
  <c r="E112" i="2"/>
  <c r="F111"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4" i="2"/>
  <c r="E83" i="2"/>
  <c r="E82" i="2"/>
  <c r="E81" i="2"/>
  <c r="E80" i="2"/>
  <c r="F78" i="2"/>
  <c r="E78" i="2"/>
  <c r="F77" i="2"/>
  <c r="E77" i="2"/>
  <c r="F76" i="2"/>
  <c r="E76" i="2"/>
  <c r="F75" i="2"/>
  <c r="E75" i="2"/>
  <c r="F74" i="2"/>
  <c r="E74" i="2"/>
  <c r="E72" i="2"/>
  <c r="E71" i="2"/>
  <c r="D71" i="2"/>
  <c r="E70" i="2"/>
  <c r="D67" i="2"/>
  <c r="E67" i="2" s="1"/>
  <c r="E66" i="2"/>
  <c r="E65" i="2"/>
  <c r="E64" i="2"/>
  <c r="E63" i="2"/>
  <c r="E62" i="2"/>
  <c r="E61" i="2"/>
  <c r="E60" i="2"/>
  <c r="E59" i="2"/>
  <c r="E58" i="2"/>
  <c r="E57" i="2"/>
  <c r="E56" i="2"/>
  <c r="E55" i="2"/>
  <c r="E54" i="2"/>
  <c r="E53" i="2"/>
  <c r="E52" i="2"/>
  <c r="E51" i="2"/>
  <c r="E50" i="2"/>
  <c r="E49" i="2"/>
  <c r="E48" i="2"/>
  <c r="E47" i="2"/>
  <c r="E46" i="2"/>
  <c r="E45" i="2"/>
  <c r="E44" i="2"/>
  <c r="E43" i="2"/>
  <c r="E42" i="2"/>
  <c r="E41" i="2"/>
  <c r="G39" i="2"/>
  <c r="E39" i="2"/>
  <c r="G38" i="2"/>
  <c r="F38" i="2"/>
  <c r="E38" i="2"/>
  <c r="G37" i="2"/>
  <c r="F37" i="2"/>
  <c r="E37" i="2"/>
  <c r="G36" i="2"/>
  <c r="F36" i="2"/>
  <c r="E36" i="2"/>
  <c r="G35" i="2"/>
  <c r="F35" i="2"/>
  <c r="E35" i="2"/>
  <c r="G34" i="2"/>
  <c r="F34" i="2"/>
  <c r="E34" i="2"/>
  <c r="G33" i="2"/>
  <c r="F33" i="2"/>
  <c r="E33" i="2"/>
  <c r="G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E21" i="2"/>
  <c r="G19" i="2"/>
  <c r="F19" i="2"/>
  <c r="G18" i="2"/>
  <c r="F18" i="2"/>
  <c r="G17" i="2"/>
  <c r="F17" i="2"/>
  <c r="M16" i="2"/>
  <c r="G16" i="2"/>
  <c r="F16" i="2"/>
  <c r="M15" i="2"/>
  <c r="G15" i="2"/>
  <c r="F15" i="2"/>
  <c r="M14" i="2"/>
  <c r="G14" i="2" s="1"/>
  <c r="F14" i="2"/>
  <c r="M13" i="2"/>
  <c r="G13" i="2" s="1"/>
  <c r="F13" i="2"/>
  <c r="M12" i="2"/>
  <c r="G12" i="2"/>
  <c r="F12" i="2"/>
  <c r="M11" i="2"/>
  <c r="G11" i="2"/>
  <c r="F11" i="2"/>
  <c r="M10" i="2"/>
  <c r="G10" i="2" s="1"/>
  <c r="F10" i="2"/>
  <c r="M9" i="2"/>
  <c r="G9" i="2" s="1"/>
  <c r="H9" i="2"/>
  <c r="F9" i="2"/>
  <c r="M8" i="2"/>
  <c r="H8" i="2"/>
  <c r="G8" i="2"/>
  <c r="F8" i="2"/>
  <c r="M7" i="2"/>
  <c r="H7" i="2"/>
  <c r="G7" i="2"/>
  <c r="F7" i="2"/>
  <c r="D7" i="2"/>
  <c r="E7" i="2" s="1"/>
  <c r="M6" i="2"/>
  <c r="G6" i="2" s="1"/>
  <c r="H6" i="2"/>
  <c r="F6" i="2"/>
  <c r="D6" i="2"/>
  <c r="E6" i="2" s="1"/>
  <c r="M5" i="2"/>
  <c r="G5" i="2" s="1"/>
  <c r="H5" i="2"/>
  <c r="F5" i="2"/>
  <c r="E5" i="2"/>
  <c r="H4" i="2"/>
  <c r="G4" i="2"/>
  <c r="F4" i="2"/>
  <c r="E4" i="2"/>
  <c r="E65" i="1"/>
  <c r="F37" i="1" l="1"/>
  <c r="C20" i="3"/>
  <c r="F65" i="1"/>
  <c r="D7" i="4"/>
  <c r="E7" i="4" s="1"/>
  <c r="E20" i="3"/>
  <c r="D33" i="1" s="1"/>
  <c r="C4" i="4" s="1"/>
  <c r="C22" i="3"/>
  <c r="C23" i="3"/>
  <c r="C25" i="3"/>
  <c r="E3" i="4"/>
  <c r="G1" i="3"/>
  <c r="D8" i="2"/>
  <c r="D68" i="2"/>
  <c r="E5" i="4" l="1"/>
  <c r="B52" i="1" s="1"/>
  <c r="B83" i="1"/>
  <c r="B4" i="4"/>
  <c r="I45" i="1"/>
  <c r="I47" i="1"/>
  <c r="I50" i="1"/>
  <c r="I46" i="1"/>
  <c r="I48" i="1"/>
  <c r="I49" i="1"/>
  <c r="B6" i="4"/>
  <c r="D6" i="4" s="1"/>
  <c r="E6" i="4" s="1"/>
  <c r="B69" i="1" s="1"/>
  <c r="E2" i="4"/>
  <c r="B9" i="1" s="1"/>
  <c r="B13" i="1"/>
  <c r="F38" i="1"/>
  <c r="F17" i="3"/>
  <c r="F25" i="3"/>
  <c r="F33" i="3"/>
  <c r="F41" i="3"/>
  <c r="F49" i="3"/>
  <c r="F57" i="3"/>
  <c r="F65" i="3"/>
  <c r="F73" i="3"/>
  <c r="F81" i="3"/>
  <c r="F89" i="3"/>
  <c r="F97" i="3"/>
  <c r="F105" i="3"/>
  <c r="F113" i="3"/>
  <c r="F121" i="3"/>
  <c r="F129" i="3"/>
  <c r="F137" i="3"/>
  <c r="F53" i="3"/>
  <c r="F22" i="3"/>
  <c r="F54" i="3"/>
  <c r="F78" i="3"/>
  <c r="F118" i="3"/>
  <c r="F18" i="3"/>
  <c r="F26" i="3"/>
  <c r="F34" i="3"/>
  <c r="F42" i="3"/>
  <c r="F50" i="3"/>
  <c r="F58" i="3"/>
  <c r="F66" i="3"/>
  <c r="F74" i="3"/>
  <c r="F82" i="3"/>
  <c r="F90" i="3"/>
  <c r="F98" i="3"/>
  <c r="F106" i="3"/>
  <c r="F114" i="3"/>
  <c r="F122" i="3"/>
  <c r="F130" i="3"/>
  <c r="F138" i="3"/>
  <c r="F45" i="3"/>
  <c r="F125" i="3"/>
  <c r="F14" i="3"/>
  <c r="F46" i="3"/>
  <c r="F70" i="3"/>
  <c r="F94" i="3"/>
  <c r="F126" i="3"/>
  <c r="F11" i="3"/>
  <c r="F19" i="3"/>
  <c r="F27" i="3"/>
  <c r="F35" i="3"/>
  <c r="F43" i="3"/>
  <c r="F51" i="3"/>
  <c r="F59" i="3"/>
  <c r="F67" i="3"/>
  <c r="F75" i="3"/>
  <c r="F83" i="3"/>
  <c r="F91" i="3"/>
  <c r="F99" i="3"/>
  <c r="F107" i="3"/>
  <c r="F115" i="3"/>
  <c r="F123" i="3"/>
  <c r="F131" i="3"/>
  <c r="F139" i="3"/>
  <c r="F69" i="3"/>
  <c r="F30" i="3"/>
  <c r="F62" i="3"/>
  <c r="F86" i="3"/>
  <c r="F110" i="3"/>
  <c r="F136" i="3"/>
  <c r="F12" i="3"/>
  <c r="F20" i="3"/>
  <c r="F28" i="3"/>
  <c r="F36" i="3"/>
  <c r="F44" i="3"/>
  <c r="F52" i="3"/>
  <c r="F60" i="3"/>
  <c r="F68" i="3"/>
  <c r="F76" i="3"/>
  <c r="F84" i="3"/>
  <c r="F92" i="3"/>
  <c r="F100" i="3"/>
  <c r="F108" i="3"/>
  <c r="F116" i="3"/>
  <c r="F124" i="3"/>
  <c r="F132" i="3"/>
  <c r="F77" i="3"/>
  <c r="F38" i="3"/>
  <c r="F102" i="3"/>
  <c r="F134" i="3"/>
  <c r="F13" i="3"/>
  <c r="F21" i="3"/>
  <c r="F29" i="3"/>
  <c r="F37" i="3"/>
  <c r="F61" i="3"/>
  <c r="F85" i="3"/>
  <c r="F93" i="3"/>
  <c r="F101" i="3"/>
  <c r="F109" i="3"/>
  <c r="F117" i="3"/>
  <c r="F133" i="3"/>
  <c r="F15" i="3"/>
  <c r="F23" i="3"/>
  <c r="F31" i="3"/>
  <c r="F39" i="3"/>
  <c r="F47" i="3"/>
  <c r="F55" i="3"/>
  <c r="F63" i="3"/>
  <c r="F71" i="3"/>
  <c r="F79" i="3"/>
  <c r="F87" i="3"/>
  <c r="F95" i="3"/>
  <c r="F103" i="3"/>
  <c r="F111" i="3"/>
  <c r="F119" i="3"/>
  <c r="F127" i="3"/>
  <c r="F135" i="3"/>
  <c r="F16" i="3"/>
  <c r="F24" i="3"/>
  <c r="F32" i="3"/>
  <c r="F40" i="3"/>
  <c r="F48" i="3"/>
  <c r="F56" i="3"/>
  <c r="F64" i="3"/>
  <c r="F72" i="3"/>
  <c r="F80" i="3"/>
  <c r="F88" i="3"/>
  <c r="F96" i="3"/>
  <c r="F104" i="3"/>
  <c r="F112" i="3"/>
  <c r="F120" i="3"/>
  <c r="F128" i="3"/>
  <c r="F4" i="3"/>
  <c r="F7" i="3"/>
  <c r="F10" i="3"/>
  <c r="F9" i="3"/>
  <c r="F8" i="3"/>
  <c r="F6" i="3"/>
  <c r="F5" i="3"/>
  <c r="D69" i="2"/>
  <c r="E69" i="2" s="1"/>
  <c r="E68" i="2"/>
  <c r="D9" i="2"/>
  <c r="E8" i="2"/>
  <c r="D4" i="4" l="1"/>
  <c r="E4" i="4" s="1"/>
  <c r="E9" i="2"/>
  <c r="D10" i="2"/>
  <c r="B30" i="1" l="1"/>
  <c r="D9" i="4"/>
  <c r="E10" i="2"/>
  <c r="D11" i="2"/>
  <c r="E9" i="4" l="1"/>
  <c r="E10" i="4" s="1"/>
  <c r="D4" i="1" s="1"/>
  <c r="D103" i="1" s="1"/>
  <c r="E11" i="2"/>
  <c r="D12" i="2"/>
  <c r="D13" i="2" l="1"/>
  <c r="E12" i="2"/>
  <c r="E13" i="2" l="1"/>
  <c r="D14" i="2"/>
  <c r="E14" i="2" l="1"/>
  <c r="D15" i="2"/>
  <c r="E15" i="2" l="1"/>
  <c r="D16" i="2"/>
  <c r="D17" i="2" l="1"/>
  <c r="E16" i="2"/>
  <c r="E17" i="2" l="1"/>
  <c r="D18" i="2"/>
  <c r="E18" i="2" l="1"/>
  <c r="D19" i="2"/>
  <c r="E19" i="2" s="1"/>
</calcChain>
</file>

<file path=xl/sharedStrings.xml><?xml version="1.0" encoding="utf-8"?>
<sst xmlns="http://schemas.openxmlformats.org/spreadsheetml/2006/main" count="702" uniqueCount="357">
  <si>
    <t>Certificate of Benefit Comparison Data Request (DC)</t>
  </si>
  <si>
    <t>Please complete all yellow cells below or provide supporting documentation with the information.</t>
  </si>
  <si>
    <t>This sheet must be completed in full to avoid delays in processing your case. We aim to provide completed certificates within 10 business days from the receipt of all information. If you require the certificate quicker please highlight the urgency on returning the completed transfer form.</t>
  </si>
  <si>
    <t>Background to case (Include general description as to why a transfer is being proposed to a PRSA)</t>
  </si>
  <si>
    <t xml:space="preserve">Member information </t>
  </si>
  <si>
    <t>Name</t>
  </si>
  <si>
    <t>Press (F9) to refresh when necessary, as certain responses will prompt futher questions.</t>
  </si>
  <si>
    <t>Date of birth</t>
  </si>
  <si>
    <t>Sex</t>
  </si>
  <si>
    <t>Marital Status</t>
  </si>
  <si>
    <t>Date of joining company</t>
  </si>
  <si>
    <t>Date of joining scheme</t>
  </si>
  <si>
    <t>Has the member left service?</t>
  </si>
  <si>
    <t>Normal Retirement Age in Scheme</t>
  </si>
  <si>
    <t>Who is paying for this Cert (e.g. member/broker/scheme sponsor/Other)?</t>
  </si>
  <si>
    <t>PRSA Information</t>
  </si>
  <si>
    <t>PRSA Provider chosen</t>
  </si>
  <si>
    <t>PRSA Product Name</t>
  </si>
  <si>
    <t>Transfer Value</t>
  </si>
  <si>
    <t>PRSA - Assessment of charges - Please check this corresponds with your expectations in terms of what will be charged</t>
  </si>
  <si>
    <t xml:space="preserve">Expected AMC on product </t>
  </si>
  <si>
    <t>This is automatically generated by LCP.</t>
  </si>
  <si>
    <t>Other comment (pre filled by LCP)</t>
  </si>
  <si>
    <t>Include any comment on charges you feel necessary</t>
  </si>
  <si>
    <t xml:space="preserve">PRSA - provide information where funds are to be invested. If investing in a lifestyle strategy you can input this. </t>
  </si>
  <si>
    <t>Fund Name (or lifestyle strategy name)</t>
  </si>
  <si>
    <t>€ amount invested</t>
  </si>
  <si>
    <t xml:space="preserve"> </t>
  </si>
  <si>
    <t>DC Scheme Information</t>
  </si>
  <si>
    <t>DC Occupational Scheme Name</t>
  </si>
  <si>
    <t>Fund Name (List all available investment or provide a copy of an investment guide)</t>
  </si>
  <si>
    <t>€ Current Value including any AVCs</t>
  </si>
  <si>
    <t>Annual Fund Charge %</t>
  </si>
  <si>
    <t>Other fund charges, Bid Offer Spread, Exit Charges</t>
  </si>
  <si>
    <t>Total Value</t>
  </si>
  <si>
    <t>Details of all other charges in DC Scheme e.g. annual fee, bonus, exit penalties, PA fee etc</t>
  </si>
  <si>
    <t>Additional DC Information</t>
  </si>
  <si>
    <t>Is the above investment strategy a life-style strategy? (If Yes please provide details separately or below)</t>
  </si>
  <si>
    <t>Is the ARF option available to members at retirement?</t>
  </si>
  <si>
    <t>Other Information</t>
  </si>
  <si>
    <t>Is scheme winding up?</t>
  </si>
  <si>
    <t>Does the fund value include a previous transfer in?</t>
  </si>
  <si>
    <t>Does the member have a PFT (Personal Fund Threshold) or a have the used some of their SFT/PFT already for previous retirement benefits</t>
  </si>
  <si>
    <t>Is there a Pensions Adjustment Order attached to the pension?</t>
  </si>
  <si>
    <t xml:space="preserve">Other useful information - e.g. if case is urgent and you want a particuarly quick turn around. </t>
  </si>
  <si>
    <t>Submission Checklist</t>
  </si>
  <si>
    <t>Please ensure you have completed and provided the details listed below when submitting the completed data request.</t>
  </si>
  <si>
    <t>Copy of Transfer Value Statement, Recent Benefit Statement or Leaving Service Options</t>
  </si>
  <si>
    <t>Complete Fund Range for the DC Scheme (can be provided above or by attachment)</t>
  </si>
  <si>
    <t>Completed LCP onboarding information (e.g. terms of business - only if not completed previously)</t>
  </si>
  <si>
    <t>%Complete</t>
  </si>
  <si>
    <t>Section</t>
  </si>
  <si>
    <t>Blank</t>
  </si>
  <si>
    <t>Total</t>
  </si>
  <si>
    <t>Answered</t>
  </si>
  <si>
    <t>Background</t>
  </si>
  <si>
    <t>Member Info</t>
  </si>
  <si>
    <t>PRSA 1</t>
  </si>
  <si>
    <t>Additional</t>
  </si>
  <si>
    <t>Other</t>
  </si>
  <si>
    <t>Wording output in form</t>
  </si>
  <si>
    <t>Trail</t>
  </si>
  <si>
    <t>Rebate</t>
  </si>
  <si>
    <t>Contribution</t>
  </si>
  <si>
    <t>Company</t>
  </si>
  <si>
    <t>Product</t>
  </si>
  <si>
    <t>Min</t>
  </si>
  <si>
    <t>addition</t>
  </si>
  <si>
    <t>Output wording</t>
  </si>
  <si>
    <t>Contribution Wording</t>
  </si>
  <si>
    <t>This includes trail commission of</t>
  </si>
  <si>
    <t>Rebate wording</t>
  </si>
  <si>
    <t>SLAC</t>
  </si>
  <si>
    <t>Synergy PRSA A - (APP/R/251/NS)</t>
  </si>
  <si>
    <t>Synergy PRSA B - (APP/R/459/NS)</t>
  </si>
  <si>
    <t>Synergy PRSA C - (APP/R/509/NS)</t>
  </si>
  <si>
    <t>Synergy PRSA D - (APP/R/152/NS)</t>
  </si>
  <si>
    <t>Synergy PRSA E - (APP/R/771/NS)</t>
  </si>
  <si>
    <t>Synergy PRSA F - (APP/R/239/NS)</t>
  </si>
  <si>
    <t>Synergy PRSA G - (APP/R/134/NS)</t>
  </si>
  <si>
    <t>Synergy PRSA H - (APP/R/443/NS)</t>
  </si>
  <si>
    <t>Synergy PRSA I - (APP/R/174/NS)</t>
  </si>
  <si>
    <t>Synergy PRSA J - (APP/R/1006/NS)</t>
  </si>
  <si>
    <t>Synergy PRSA K - (APP/R/1007/NS)</t>
  </si>
  <si>
    <t>Synergy PRSA L - (APP/R/1008/NS)</t>
  </si>
  <si>
    <t>Synergy PRSA M - (APP/R/1009/NS)</t>
  </si>
  <si>
    <t>Synergy PRSA N - (APP/R/1024/NS)</t>
  </si>
  <si>
    <t>Synergy PRSA O - (APP/R/1025/NS)</t>
  </si>
  <si>
    <t>Synergy PRSA P - (APP/R/1026/NS)</t>
  </si>
  <si>
    <t>NI</t>
  </si>
  <si>
    <t>Non-Standard PRSA - Product 4 - (APP/H/035/NS)</t>
  </si>
  <si>
    <t>Non Standard PRSA - Product 5 - (APP/H/109/NS)</t>
  </si>
  <si>
    <t>Non-Standard PRSA - Product 6 - (APP/H/874/NS)</t>
  </si>
  <si>
    <t>Non-Standard PRSA - Product 7 - (APP/H/723/NS)</t>
  </si>
  <si>
    <t>Non-Standard PRSA - Product 8 - (APP/H/176/NS)</t>
  </si>
  <si>
    <t>Non-Standard PRSA - Product 9 - (APP/H/503/NS)</t>
  </si>
  <si>
    <t>Non-Standard PRSA - Product 10 - (APP/H/084/NS)</t>
  </si>
  <si>
    <t>Non-Standard PRSA - Product 11 - (APP/H/059/NS)</t>
  </si>
  <si>
    <t>Non-Standard PRSA - Product 12 - (APP/H/962/NS)</t>
  </si>
  <si>
    <t>Non-Standard PRSA - Product 13 - (APP/H/508/NS)</t>
  </si>
  <si>
    <t>Non-Standard PRSA - Product 14 - (APP/H/858/NS)</t>
  </si>
  <si>
    <t>Standard PRSA - Product A - (APP/H/217/S)</t>
  </si>
  <si>
    <t>This product has a contribution charge of 3% for regular premium &gt;=€12,000 p.a. or single premium &gt;=€20,000 p.a. and 5% for regular premium &lt;€12,000 p.a. or single premium &lt;€20,000 p.a.</t>
  </si>
  <si>
    <t>Standard PRSA - Product B - (APP/H/316/S)</t>
  </si>
  <si>
    <t>Standard PRSA - Product C - (APP/H/397/S)</t>
  </si>
  <si>
    <t>Standard PRSA - Product D - (APP/H/170/S)</t>
  </si>
  <si>
    <t>Standard PRSA - Product E - (APP/H/748/S)</t>
  </si>
  <si>
    <t>Standard PRSA - Product F - (APP/H/137/S)</t>
  </si>
  <si>
    <t>Standard PRSA - Product G - (APP/H/117/S)</t>
  </si>
  <si>
    <t>PRSA Choice/PRSA Plus - (APP/H/525/NS)</t>
  </si>
  <si>
    <t>Irish Life</t>
  </si>
  <si>
    <t>PRSA Standard (1% &amp; 5%) - (APP/K/935/S)</t>
  </si>
  <si>
    <t>This product has a contribution charge 5%</t>
  </si>
  <si>
    <t>, AMC reduces by .05% when fund reaches certain levels</t>
  </si>
  <si>
    <t>Corporate Standard PRSA - (APP/K/627/S)</t>
  </si>
  <si>
    <t>This product has a contribution charge 2% for Direct Distribution and 1% for Broker Distribution</t>
  </si>
  <si>
    <t>Corporate Standard Group PRSA - (APP/K/719/S)</t>
  </si>
  <si>
    <t>This product has a contribution charge 1% for Direct Distribution and 0% for Broker Distribution</t>
  </si>
  <si>
    <t>Company Standard PRSA - (APP/K/813/S)</t>
  </si>
  <si>
    <t>Company Standard Group PRSA - (APP/K/243/S)</t>
  </si>
  <si>
    <t>This product has a contribution charge 4%</t>
  </si>
  <si>
    <t>Public Sector PRSA (APP/K/082/S)</t>
  </si>
  <si>
    <t>This product has a contribution charge 3% for Cornmarket Group Distribution and 5% for Financial Services Distribution</t>
  </si>
  <si>
    <t>Complete Solutions PRSA Standard (5%) - (APP/K/349/S)</t>
  </si>
  <si>
    <t>This product has a contribution charge which is tiered (5%-3.5%)</t>
  </si>
  <si>
    <t>Complete Solutions PRSA Standard (3%) - (APP/K/997/S)</t>
  </si>
  <si>
    <t>This product has a contribution charge which is tiered (3%-1.5%)</t>
  </si>
  <si>
    <t>Complete Solutions PRSA Standard (1.5%) - (APP/K/751/S)</t>
  </si>
  <si>
    <t>This product has a contribution charge which is tiered (1.5%-0%)</t>
  </si>
  <si>
    <t>Complete Solutions PRSA Standard (0%) - (APP/K/897/S)</t>
  </si>
  <si>
    <t>This product has a contribution charge 0%</t>
  </si>
  <si>
    <t>Company Standard PRSA (0%, 0.75%) - (APP/K/072/S)</t>
  </si>
  <si>
    <t>Company Standard PRSA (1%, 0.75%) - (APP/K/812/S)</t>
  </si>
  <si>
    <t>This product has a contribution charge 1%</t>
  </si>
  <si>
    <t>Company Standard PRSA (0%, 1%) - (APP/K/942/S)</t>
  </si>
  <si>
    <t>Company Standard PRSA (1%, 1%) - (APP/K/685/S)</t>
  </si>
  <si>
    <t>Company Standard PRSA (2%, 1%) - (APP/K/237/S)</t>
  </si>
  <si>
    <t>This product has a contribution charge 2%</t>
  </si>
  <si>
    <t>Company Standard PRSA (3%, 1%) - (APP/K/544/S)</t>
  </si>
  <si>
    <t>This product has a contribution charge 3%</t>
  </si>
  <si>
    <t>Company Standard PRSA (0%, 0.50%) - (APP/K/119/S)</t>
  </si>
  <si>
    <t>Clear PRSA (1%, 5%) - (APP/K/640/S)</t>
  </si>
  <si>
    <t>Clear PRSA (1%, 0%) - (APP/K/716/S)</t>
  </si>
  <si>
    <t>Company Standard Group PRSA (0%, 0.75%) - (APP/K/736/S)</t>
  </si>
  <si>
    <t>AIB Invest PRSA (APP/K/126/S)</t>
  </si>
  <si>
    <t>Complete Solutions PRSA Options (5%) - (APP/K/696/NS)</t>
  </si>
  <si>
    <t>Complete Solutions PRSA Options (3%) - (APP/K/216/NS)</t>
  </si>
  <si>
    <t>This product has a contribution charge which is tiered (3.5%-1.5%)</t>
  </si>
  <si>
    <t>Complete Solutions PRSA Options (1.5%) - (APP/K/713/NS)</t>
  </si>
  <si>
    <t>Complete Solutions PRSA Options (0%) - (APP/K/122/NS)</t>
  </si>
  <si>
    <t>Irish Life PRSA Plan J - (APP/K/141/NS)</t>
  </si>
  <si>
    <t>The AMC is inclusive of any trail agreed with provider</t>
  </si>
  <si>
    <t>Irish Life PRSA Plan K - (APP/K/530/NS)</t>
  </si>
  <si>
    <t>Irish Life PRSA Plan L - (APP/K/347/NS)</t>
  </si>
  <si>
    <t>Irish Life PRSA Plan M - (APP/K/331/NS)</t>
  </si>
  <si>
    <t>Irish Life PRSA Plan N - (APP/K/332/NS)</t>
  </si>
  <si>
    <t>Irish Life PRSA Plan O - (APP/K/333/NS)</t>
  </si>
  <si>
    <t>Complete Solutions PRSA Plus - (APP/K/1013/NS)</t>
  </si>
  <si>
    <t>Acorn</t>
  </si>
  <si>
    <t>Acorn Life Standard PRSA - (APP/E/974/S)</t>
  </si>
  <si>
    <t>Acorn Life Smart PRSA 1 - (APP/E/970/NS)</t>
  </si>
  <si>
    <t>Acorn Life Smart PRSA 2 - (APP/E/971/NS)</t>
  </si>
  <si>
    <t>Acorn Life Smart PRSA 3 - (APP/E/972/NS)</t>
  </si>
  <si>
    <t>Acorn Life Smart PRSA 4 - (APP/E/973/NS)</t>
  </si>
  <si>
    <t>SAOL</t>
  </si>
  <si>
    <t>PRSA (A) - APP/AA/998/NS</t>
  </si>
  <si>
    <t>This product has a contribution charge which is tiered (5%-2%)</t>
  </si>
  <si>
    <t>, The AMC is inclusive of any trail agreed with provider</t>
  </si>
  <si>
    <t>PRSA (B) - APP/AA/999/NS</t>
  </si>
  <si>
    <t>This product has a contribution charge which is tiered (3%-0%)</t>
  </si>
  <si>
    <t>PRSA (C) - APP/AA/1000/NS</t>
  </si>
  <si>
    <t>PRSA (D) - APP/AA/1001NS</t>
  </si>
  <si>
    <t>PRSA (E) - APP/AA/1002/NS</t>
  </si>
  <si>
    <t>Zurich</t>
  </si>
  <si>
    <t>Zurich PRSA -- RFAL - (APP/J/371/S)</t>
  </si>
  <si>
    <t>Zurich PRSA -- RFAA - (APP/J/406/S)</t>
  </si>
  <si>
    <t>This product has a contribution charge which is tiered</t>
  </si>
  <si>
    <t>Zurich PRSA -- RFAJ - (APP/J/369/S)</t>
  </si>
  <si>
    <t>Zurich PRSA -- RFAO - (APP/J/953/S)</t>
  </si>
  <si>
    <t>This product has a contribution charge which is tiered (3.5%-2.0%)</t>
  </si>
  <si>
    <t>Zurich PRSA -- RFAP - (APP/J/565/S)</t>
  </si>
  <si>
    <t>This product has a contribution charge which is tiered (2%-0.5%)</t>
  </si>
  <si>
    <t>Zurich PRSA -- RFAQ - (APP/J/291/S)</t>
  </si>
  <si>
    <t>Aon Standard -- RFAR - (APP/J/163/S)</t>
  </si>
  <si>
    <t>Aon Standard -- RFAS - (APP/J/730/S)</t>
  </si>
  <si>
    <t>Zurich PRSA - RFAU - (APP/J/954/S)</t>
  </si>
  <si>
    <t>Zurich PRSA - RFAV - (APP/J/955/S)</t>
  </si>
  <si>
    <t>Zurich PRSA - RFAW - (APP/J/956/S)</t>
  </si>
  <si>
    <t>Zurich PRSA - RFBA - (APP/J/1003/S)</t>
  </si>
  <si>
    <t>Zurich PRSA - RFBB - (APP/J/1004/S)</t>
  </si>
  <si>
    <t>Zurich PRSA -- RFAM - (APP/J/779/NS)</t>
  </si>
  <si>
    <t>Zurich PRSA -- RFAB - (APP/J/242/NS)</t>
  </si>
  <si>
    <t>This product has a contribution charge which is tiered (3.0%-1.5%)</t>
  </si>
  <si>
    <t>Zurich PRSA -- RFAG - (APP/J/158/NS)</t>
  </si>
  <si>
    <t>Zurich PRSA -- RFAD - (APP/J/634/NS)</t>
  </si>
  <si>
    <t>This product has a contribution bonus which is tiered (0% to -1.5%)</t>
  </si>
  <si>
    <t>Zurich PRSA -- RFAE - (APP/J/463/NS)</t>
  </si>
  <si>
    <t>Zurich PRSA -- RFAI - (APP/J/193/NS)</t>
  </si>
  <si>
    <t>Zurich PRSA -- RFAN - (APP/J/129/NS)</t>
  </si>
  <si>
    <t>Zurich PRSA -- RFAH - (APP/J/385/NS)</t>
  </si>
  <si>
    <t>Zurich PRSA -- RFAF - (APP/J/589/NS)</t>
  </si>
  <si>
    <t>Zurich PRSA -- RFAC - (APP/J/739/NS)</t>
  </si>
  <si>
    <t>Zurich PRSA -- RFAK - (APP/J/842/NS)</t>
  </si>
  <si>
    <t>Zurich PRSA - RFAT - (APP/J/843/NS)</t>
  </si>
  <si>
    <t>Zurich PRSA - RFAX - (APP/J/957/NS)</t>
  </si>
  <si>
    <t>Zurich PRSA - RFAY - (APP/J/958/NS)</t>
  </si>
  <si>
    <t>Zurich PRSA - RFAZ - (APP/J/959/NS)</t>
  </si>
  <si>
    <t>Zurich PRSA - RFBC - (APP/J/1005/NS)</t>
  </si>
  <si>
    <t>AVIVA</t>
  </si>
  <si>
    <t>Conductor PRSA (5%) - (APP/N/742/NS)</t>
  </si>
  <si>
    <t>Conductor PRSA (3.5%) - (APP/N/595/NS)</t>
  </si>
  <si>
    <t>Conductor PRSA (2%) - (APP/N/854/NS)</t>
  </si>
  <si>
    <t>Conductor PRSA (0%) - (APP/N/921/NS)</t>
  </si>
  <si>
    <t>Aviva Option A</t>
  </si>
  <si>
    <t>The trail commission above will be added to this amc</t>
  </si>
  <si>
    <t>Aviva Option B</t>
  </si>
  <si>
    <t>Aviva Option C</t>
  </si>
  <si>
    <t>Aviva Option D</t>
  </si>
  <si>
    <t>Aviva Option E</t>
  </si>
  <si>
    <t>Aviva Option F</t>
  </si>
  <si>
    <t>Davy</t>
  </si>
  <si>
    <t>Davy Advisory PRSA - Intermediary</t>
  </si>
  <si>
    <t xml:space="preserve">This is the Davy fee based on the size of the transfer. Any charges applying to funds are in addition and should be outlined below. </t>
  </si>
  <si>
    <t>Davy Advisory PRSA - Portfolio Manager</t>
  </si>
  <si>
    <t>Davy Advisory PRSA - Direct</t>
  </si>
  <si>
    <t>Davy Select PRSA (Execution Only) - Intermediary</t>
  </si>
  <si>
    <t>Davy Select PRSA (Execution Only) - Direct</t>
  </si>
  <si>
    <t>ITC</t>
  </si>
  <si>
    <t>ITC Non-Standard PRSA 1</t>
  </si>
  <si>
    <t>The underlying fund charges are in addition. Please provide these below.</t>
  </si>
  <si>
    <t>ITC Non-Standard PRSA 2</t>
  </si>
  <si>
    <t>ITC Non-Standard PRSA 3</t>
  </si>
  <si>
    <t>ITC Non-Standard PRSA 1 - Leap</t>
  </si>
  <si>
    <t>ITC Non-Standard PRSA 2 - Leap</t>
  </si>
  <si>
    <t>ITC Non-Standard PRSA 3 - Leap</t>
  </si>
  <si>
    <t>Goodbody</t>
  </si>
  <si>
    <t>Goodbody PRSA - Intermediary</t>
  </si>
  <si>
    <t xml:space="preserve">This fee is based on the size of the fund. Any charges applying to the underlying funds are in addition and should be outlined below. </t>
  </si>
  <si>
    <t>Goodbody PRSA - Direct</t>
  </si>
  <si>
    <t>Goodbody PRSA - Staff</t>
  </si>
  <si>
    <t>Goodbody PRSA - Affinity</t>
  </si>
  <si>
    <t>Newcourt</t>
  </si>
  <si>
    <t>Newcourt Self-Invested Non-Standard PRSA</t>
  </si>
  <si>
    <t>This fee is based on the size of the fund. Any charges applying to the underlying funds are in addition and should be outlined below. Please also confirm below whether or not the additional investment services advisory fee applies.</t>
  </si>
  <si>
    <t>Quest</t>
  </si>
  <si>
    <t>Quest Retirement Solutions Non-Standard PRSA</t>
  </si>
  <si>
    <t>Cantor</t>
  </si>
  <si>
    <t>Cantor Non-Standard PRSA - Direct - Exec Only</t>
  </si>
  <si>
    <t xml:space="preserve">This fee is based on the size of the fund. Any charges applying to underlying funds are in addition and should be outlined below. </t>
  </si>
  <si>
    <t>Cantor Non-Standard PRSA - Direct - Advisory</t>
  </si>
  <si>
    <t>Cantor Non-Standard PRSA - Direct - Discretionary</t>
  </si>
  <si>
    <t>Cantor Non-Standard PRSA - Intermediary - Exec Only</t>
  </si>
  <si>
    <t>Cantor Non-Standard PRSA - Intermediary - Advisory</t>
  </si>
  <si>
    <t>Cantor Non-Standard PRSA - Intermediary - Discretionary</t>
  </si>
  <si>
    <t>Cantor Non-Standard PRSA - Staff</t>
  </si>
  <si>
    <t>Royal London</t>
  </si>
  <si>
    <t>Royal London PRSA (0.40%)</t>
  </si>
  <si>
    <t>This product has a contribution charge which is tiered (2%,0%)</t>
  </si>
  <si>
    <t>Royal London PRSA (0.50%)</t>
  </si>
  <si>
    <t>Royal London PRSA (0.65%)</t>
  </si>
  <si>
    <t>Royal London PRSA (0.75%)</t>
  </si>
  <si>
    <t>Royal London PRSA (0.90%)</t>
  </si>
  <si>
    <t>Royal London PRSA (1.00%)</t>
  </si>
  <si>
    <t>Royal London PRSA (1.15%)</t>
  </si>
  <si>
    <t>Royal London PRSA (1.25%)</t>
  </si>
  <si>
    <t>Royal London PRSA (1.40%)</t>
  </si>
  <si>
    <t>Royal London PRSA (1.50%)</t>
  </si>
  <si>
    <t>Providers</t>
  </si>
  <si>
    <t>Request fund fact sheets</t>
  </si>
  <si>
    <t>Additional AMC field</t>
  </si>
  <si>
    <t>Trail?</t>
  </si>
  <si>
    <t>Products</t>
  </si>
  <si>
    <t>Acorn Life</t>
  </si>
  <si>
    <t>Aviva Life &amp; Pensions Ireland</t>
  </si>
  <si>
    <t>Cantor Fitzgerald Ireland</t>
  </si>
  <si>
    <t>Goodbody Stockbrokers</t>
  </si>
  <si>
    <t>Independent Trustee Company Limited</t>
  </si>
  <si>
    <t>Irish Life Assurance</t>
  </si>
  <si>
    <t>Newcourt Retirement Fund Managers</t>
  </si>
  <si>
    <t>New Ireland Assurance</t>
  </si>
  <si>
    <t>Quest Retirement Solutions Limited</t>
  </si>
  <si>
    <t>Saol Assurance</t>
  </si>
  <si>
    <t>Standard Life International</t>
  </si>
  <si>
    <t>Zurich Life Assurance</t>
  </si>
  <si>
    <t>Aviva</t>
  </si>
  <si>
    <t>Y</t>
  </si>
  <si>
    <t>Annual Management Charge of fund/strategy</t>
  </si>
  <si>
    <t>N</t>
  </si>
  <si>
    <t>Aviva PRSA Option 1   - (APP/F/975/NS)</t>
  </si>
  <si>
    <t>Aviva PRSA Option 2   - (APP/F/976/NS)</t>
  </si>
  <si>
    <t>Goodbody PRSA - Staff Distribution</t>
  </si>
  <si>
    <t>Aviva PRSA Option 3   - (APP/F/977/NS)</t>
  </si>
  <si>
    <t>Aviva PRSA Option 4 - (APP/F/978/NS)</t>
  </si>
  <si>
    <t>Aviva PRSA Option 5 - (APP/F/979/NS)</t>
  </si>
  <si>
    <t>Aviva PRSA Option 6 - (APP/F/980/NS)</t>
  </si>
  <si>
    <t>Aviva PRSA Option 7 - (APP/F/981/NS)</t>
  </si>
  <si>
    <t>Aviva PRSA Option 8 - (APP/F/982/NS)</t>
  </si>
  <si>
    <t>Aviva PRSA Option 9 - (APP/F/983/NS)</t>
  </si>
  <si>
    <t>Aviva PRSA Option 10 - (APP/F/984/NS)</t>
  </si>
  <si>
    <t>Aviva PRSA Option 11 - (APP/F/985/NS)</t>
  </si>
  <si>
    <t>Aviva PRSA Option 12 - (APP/F/986/NS)</t>
  </si>
  <si>
    <t>Aviva PRSA Option 13 - (APP/F/987/NS)</t>
  </si>
  <si>
    <t>Aviva PRSA Option 14 - (APP/F/988/NS)</t>
  </si>
  <si>
    <t>Aviva PRSA Option 15 - (APP/F/989/NS)</t>
  </si>
  <si>
    <t>Aviva PRSA Option 16 - (APP/F/990/NS)</t>
  </si>
  <si>
    <t>Request for company</t>
  </si>
  <si>
    <t>Aviva PRSA Option 17 - (APP/F/991/NS)</t>
  </si>
  <si>
    <t>Aviva PRSA Option 18 - (APP/F/992/NS)</t>
  </si>
  <si>
    <t>Comment 1</t>
  </si>
  <si>
    <t>Comment 2</t>
  </si>
  <si>
    <t>Comment 3</t>
  </si>
  <si>
    <t>Comment 4</t>
  </si>
  <si>
    <t>Output commisison comment</t>
  </si>
  <si>
    <t>Chosen</t>
  </si>
  <si>
    <t>Option number</t>
  </si>
  <si>
    <t>Options</t>
  </si>
  <si>
    <t>SP</t>
  </si>
  <si>
    <t>PA name</t>
  </si>
  <si>
    <t>Aviva Option A1</t>
  </si>
  <si>
    <t>Aviva Option A2</t>
  </si>
  <si>
    <t>Aviva Option A3</t>
  </si>
  <si>
    <t>Aviva Option B1</t>
  </si>
  <si>
    <t>Aviva Option B2</t>
  </si>
  <si>
    <t>Aviva Option B3</t>
  </si>
  <si>
    <t>Aviva Option B4</t>
  </si>
  <si>
    <t>Aviva Option B5</t>
  </si>
  <si>
    <t>Aviva Option C1</t>
  </si>
  <si>
    <t>Aviva Option C2</t>
  </si>
  <si>
    <t>Aviva Option C3</t>
  </si>
  <si>
    <t>Aviva Option C4</t>
  </si>
  <si>
    <t>Aviva Option C5</t>
  </si>
  <si>
    <t>Aviva Option C6</t>
  </si>
  <si>
    <t>Aviva Option C7</t>
  </si>
  <si>
    <t>Aviva Option D1</t>
  </si>
  <si>
    <t>Aviva Option D2</t>
  </si>
  <si>
    <t>Aviva Option D3</t>
  </si>
  <si>
    <t>Aviva Option D4</t>
  </si>
  <si>
    <t>Aviva Option D5</t>
  </si>
  <si>
    <t>Aviva Option D6</t>
  </si>
  <si>
    <t>Aviva Option D7</t>
  </si>
  <si>
    <t>Aviva Option E1</t>
  </si>
  <si>
    <t>Aviva Option E2</t>
  </si>
  <si>
    <t>Aviva Option F1</t>
  </si>
  <si>
    <t>Aviva Option F2</t>
  </si>
  <si>
    <t>Aviva Option F3</t>
  </si>
  <si>
    <t>Aviva Option F4</t>
  </si>
  <si>
    <t>Aviva Option F5</t>
  </si>
  <si>
    <t>Aviva Option F6</t>
  </si>
  <si>
    <t xml:space="preserve">We will require a formal appointment along with terms and conditions and AML. If a broker is appointing LCP and has previously provided these, then we will not require them again. This is likey to speed up response times. </t>
  </si>
  <si>
    <t>Is Trustee consent required to take early retirement?</t>
  </si>
  <si>
    <t>Date of the above Transfer Value</t>
  </si>
  <si>
    <t>Is Employer consent required to take early retirement?</t>
  </si>
  <si>
    <t>DC</t>
  </si>
  <si>
    <t xml:space="preserve">Pick PRSA Company first 
</t>
  </si>
  <si>
    <t>Then pick the correct product 
(Press F9 to refresh if necessary)</t>
  </si>
  <si>
    <t>Version LCP V1.8</t>
  </si>
  <si>
    <t>Have you requested a Benefit Statement from the DC Scheme as allowed under s113 of the Pensions Act? Please provide a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</si>
</sst>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quot;€&quot;#,##0"/>
    <numFmt numFmtId="166" formatCode="0.0%"/>
    <numFmt numFmtId="167" formatCode="0.0000%"/>
    <numFmt numFmtId="168" formatCode="[$€-1809]#,##0.00"/>
    <numFmt numFmtId="169" formatCode="[$€-1809]#,##0"/>
  </numFmts>
  <fonts count="19" x14ac:knownFonts="1">
    <font>
      <sz val="10"/>
      <color theme="1"/>
      <name val="Arial"/>
      <family val="2"/>
    </font>
    <font>
      <sz val="10"/>
      <color theme="1"/>
      <name val="Arial"/>
      <family val="2"/>
    </font>
    <font>
      <sz val="10"/>
      <color rgb="FF006100"/>
      <name val="Arial"/>
      <family val="2"/>
    </font>
    <font>
      <sz val="10"/>
      <color rgb="FF9C0006"/>
      <name val="Arial"/>
      <family val="2"/>
    </font>
    <font>
      <sz val="10"/>
      <color rgb="FF9C5700"/>
      <name val="Arial"/>
      <family val="2"/>
    </font>
    <font>
      <b/>
      <sz val="11"/>
      <color theme="1"/>
      <name val="Aptos Narrow"/>
      <family val="2"/>
      <scheme val="minor"/>
    </font>
    <font>
      <sz val="10"/>
      <name val="Arial"/>
      <family val="2"/>
    </font>
    <font>
      <b/>
      <sz val="10"/>
      <color rgb="FF006100"/>
      <name val="Arial"/>
      <family val="2"/>
    </font>
    <font>
      <b/>
      <sz val="10"/>
      <name val="Arial"/>
      <family val="2"/>
    </font>
    <font>
      <sz val="8"/>
      <name val="Arial"/>
      <family val="2"/>
    </font>
    <font>
      <sz val="12"/>
      <color theme="1"/>
      <name val="Arial"/>
      <family val="2"/>
    </font>
    <font>
      <b/>
      <i/>
      <u/>
      <sz val="12"/>
      <color theme="1"/>
      <name val="Arial"/>
      <family val="2"/>
    </font>
    <font>
      <b/>
      <sz val="12"/>
      <color rgb="FFFF0000"/>
      <name val="Arial"/>
      <family val="2"/>
    </font>
    <font>
      <b/>
      <sz val="12"/>
      <color theme="1"/>
      <name val="Arial"/>
      <family val="2"/>
    </font>
    <font>
      <b/>
      <sz val="12"/>
      <name val="Arial"/>
      <family val="2"/>
    </font>
    <font>
      <sz val="12"/>
      <color rgb="FFFF0000"/>
      <name val="Arial"/>
      <family val="2"/>
    </font>
    <font>
      <b/>
      <i/>
      <sz val="20"/>
      <color theme="1"/>
      <name val="Arial"/>
      <family val="2"/>
    </font>
    <font>
      <sz val="11"/>
      <color theme="1"/>
      <name val="Arial"/>
      <family val="2"/>
    </font>
    <font>
      <b/>
      <sz val="22"/>
      <color theme="1"/>
      <name val="Arial"/>
      <family val="2"/>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CCFFCC"/>
        <bgColor indexed="64"/>
      </patternFill>
    </fill>
    <fill>
      <patternFill patternType="solid">
        <fgColor rgb="FFFFFF99"/>
        <bgColor indexed="64"/>
      </patternFill>
    </fill>
    <fill>
      <patternFill patternType="solid">
        <fgColor theme="7" tint="0.59999389629810485"/>
        <bgColor indexed="64"/>
      </patternFill>
    </fill>
    <fill>
      <patternFill patternType="solid">
        <fgColor theme="5" tint="0.59999389629810485"/>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6" fillId="0" borderId="0"/>
    <xf numFmtId="43" fontId="6" fillId="0" borderId="0" applyFont="0" applyFill="0" applyBorder="0" applyAlignment="0" applyProtection="0"/>
  </cellStyleXfs>
  <cellXfs count="260">
    <xf numFmtId="0" fontId="0" fillId="0" borderId="0" xfId="0"/>
    <xf numFmtId="0" fontId="5" fillId="0" borderId="0" xfId="0" applyFont="1"/>
    <xf numFmtId="0" fontId="5" fillId="0" borderId="15" xfId="0" applyFont="1" applyBorder="1"/>
    <xf numFmtId="10" fontId="0" fillId="0" borderId="0" xfId="2" applyNumberFormat="1" applyFont="1"/>
    <xf numFmtId="166" fontId="5" fillId="0" borderId="15" xfId="2" applyNumberFormat="1" applyFont="1" applyBorder="1"/>
    <xf numFmtId="10" fontId="5" fillId="0" borderId="0" xfId="2" applyNumberFormat="1" applyFont="1"/>
    <xf numFmtId="10" fontId="6" fillId="0" borderId="0" xfId="2" applyNumberFormat="1" applyFont="1"/>
    <xf numFmtId="10" fontId="0" fillId="0" borderId="15" xfId="2" applyNumberFormat="1" applyFont="1" applyBorder="1"/>
    <xf numFmtId="10" fontId="4" fillId="4" borderId="15" xfId="5" applyNumberFormat="1" applyBorder="1"/>
    <xf numFmtId="0" fontId="0" fillId="0" borderId="15" xfId="0" applyBorder="1"/>
    <xf numFmtId="10" fontId="0" fillId="0" borderId="15" xfId="0" applyNumberFormat="1" applyBorder="1"/>
    <xf numFmtId="9" fontId="6" fillId="0" borderId="15" xfId="0" applyNumberFormat="1" applyFont="1" applyBorder="1" applyAlignment="1">
      <alignment wrapText="1"/>
    </xf>
    <xf numFmtId="166" fontId="0" fillId="0" borderId="15" xfId="2" applyNumberFormat="1" applyFont="1" applyBorder="1"/>
    <xf numFmtId="10" fontId="6" fillId="0" borderId="15" xfId="0" applyNumberFormat="1" applyFont="1" applyBorder="1" applyAlignment="1">
      <alignment wrapText="1"/>
    </xf>
    <xf numFmtId="0" fontId="5" fillId="0" borderId="35" xfId="0" applyFont="1" applyBorder="1"/>
    <xf numFmtId="0" fontId="0" fillId="0" borderId="35" xfId="0" applyBorder="1"/>
    <xf numFmtId="10" fontId="6" fillId="0" borderId="35" xfId="2" applyNumberFormat="1" applyFont="1" applyBorder="1"/>
    <xf numFmtId="10" fontId="0" fillId="0" borderId="0" xfId="2" applyNumberFormat="1" applyFont="1" applyBorder="1"/>
    <xf numFmtId="10" fontId="0" fillId="7" borderId="15" xfId="2" applyNumberFormat="1" applyFont="1" applyFill="1" applyBorder="1"/>
    <xf numFmtId="10" fontId="0" fillId="0" borderId="35" xfId="2" applyNumberFormat="1" applyFont="1" applyBorder="1"/>
    <xf numFmtId="10" fontId="0" fillId="0" borderId="15" xfId="2" applyNumberFormat="1" applyFont="1" applyFill="1" applyBorder="1"/>
    <xf numFmtId="0" fontId="2" fillId="0" borderId="15" xfId="3" applyFill="1" applyBorder="1"/>
    <xf numFmtId="0" fontId="0" fillId="0" borderId="24" xfId="0" applyBorder="1"/>
    <xf numFmtId="166" fontId="0" fillId="0" borderId="24" xfId="2" applyNumberFormat="1" applyFont="1" applyBorder="1"/>
    <xf numFmtId="10" fontId="0" fillId="8" borderId="15" xfId="2" applyNumberFormat="1" applyFont="1" applyFill="1" applyBorder="1"/>
    <xf numFmtId="166" fontId="0" fillId="0" borderId="0" xfId="2" applyNumberFormat="1" applyFont="1" applyBorder="1"/>
    <xf numFmtId="0" fontId="7" fillId="2" borderId="1" xfId="3" applyFont="1" applyBorder="1"/>
    <xf numFmtId="0" fontId="2" fillId="2" borderId="2" xfId="3" applyBorder="1"/>
    <xf numFmtId="10" fontId="2" fillId="2" borderId="2" xfId="3" applyNumberFormat="1" applyBorder="1"/>
    <xf numFmtId="166" fontId="2" fillId="2" borderId="2" xfId="3" applyNumberFormat="1" applyBorder="1"/>
    <xf numFmtId="43" fontId="0" fillId="0" borderId="15" xfId="1" applyFont="1" applyBorder="1"/>
    <xf numFmtId="0" fontId="4" fillId="4" borderId="15" xfId="5" applyBorder="1"/>
    <xf numFmtId="164" fontId="0" fillId="0" borderId="4" xfId="1" applyNumberFormat="1" applyFont="1" applyBorder="1"/>
    <xf numFmtId="164" fontId="0" fillId="0" borderId="5" xfId="1" applyNumberFormat="1" applyFont="1" applyBorder="1"/>
    <xf numFmtId="164" fontId="0" fillId="0" borderId="25" xfId="1" applyNumberFormat="1" applyFont="1" applyBorder="1"/>
    <xf numFmtId="164" fontId="0" fillId="0" borderId="36" xfId="1" applyNumberFormat="1" applyFont="1" applyBorder="1"/>
    <xf numFmtId="0" fontId="4" fillId="4" borderId="0" xfId="5"/>
    <xf numFmtId="10" fontId="0" fillId="0" borderId="20" xfId="2" applyNumberFormat="1" applyFont="1" applyBorder="1" applyAlignment="1">
      <alignment horizontal="center"/>
    </xf>
    <xf numFmtId="10" fontId="0" fillId="0" borderId="15" xfId="2" applyNumberFormat="1" applyFont="1" applyBorder="1" applyAlignment="1">
      <alignment horizontal="center"/>
    </xf>
    <xf numFmtId="10" fontId="0" fillId="0" borderId="24" xfId="2" applyNumberFormat="1" applyFont="1" applyBorder="1" applyAlignment="1">
      <alignment horizontal="center"/>
    </xf>
    <xf numFmtId="10" fontId="0" fillId="0" borderId="16" xfId="2" applyNumberFormat="1" applyFont="1" applyBorder="1" applyAlignment="1">
      <alignment horizontal="center"/>
    </xf>
    <xf numFmtId="10" fontId="0" fillId="0" borderId="7" xfId="2" applyNumberFormat="1" applyFont="1" applyBorder="1" applyAlignment="1">
      <alignment horizontal="center"/>
    </xf>
    <xf numFmtId="10" fontId="0" fillId="0" borderId="8" xfId="2" applyNumberFormat="1" applyFont="1" applyBorder="1" applyAlignment="1">
      <alignment horizontal="center"/>
    </xf>
    <xf numFmtId="10" fontId="0" fillId="0" borderId="9" xfId="2" applyNumberFormat="1" applyFont="1" applyBorder="1" applyAlignment="1">
      <alignment horizontal="center"/>
    </xf>
    <xf numFmtId="0" fontId="7" fillId="0" borderId="0" xfId="3" applyFont="1" applyFill="1"/>
    <xf numFmtId="0" fontId="2" fillId="0" borderId="0" xfId="3" applyFill="1"/>
    <xf numFmtId="10" fontId="2" fillId="0" borderId="0" xfId="3" applyNumberFormat="1" applyFill="1"/>
    <xf numFmtId="0" fontId="2" fillId="0" borderId="0" xfId="3" applyFill="1" applyBorder="1"/>
    <xf numFmtId="164" fontId="0" fillId="0" borderId="6" xfId="1" applyNumberFormat="1" applyFont="1" applyBorder="1"/>
    <xf numFmtId="0" fontId="2" fillId="2" borderId="0" xfId="3"/>
    <xf numFmtId="10" fontId="6" fillId="0" borderId="20" xfId="2" applyNumberFormat="1" applyFont="1" applyFill="1" applyBorder="1" applyAlignment="1">
      <alignment horizontal="center"/>
    </xf>
    <xf numFmtId="10" fontId="6" fillId="0" borderId="15" xfId="2" applyNumberFormat="1" applyFont="1" applyBorder="1" applyAlignment="1">
      <alignment horizontal="center"/>
    </xf>
    <xf numFmtId="10" fontId="6" fillId="0" borderId="16" xfId="2" applyNumberFormat="1" applyFont="1" applyBorder="1" applyAlignment="1">
      <alignment horizontal="center"/>
    </xf>
    <xf numFmtId="10" fontId="6" fillId="0" borderId="15" xfId="2" applyNumberFormat="1" applyFont="1" applyFill="1" applyBorder="1" applyAlignment="1">
      <alignment horizontal="center"/>
    </xf>
    <xf numFmtId="10" fontId="6" fillId="0" borderId="16" xfId="2" applyNumberFormat="1" applyFont="1" applyFill="1" applyBorder="1" applyAlignment="1">
      <alignment horizontal="center"/>
    </xf>
    <xf numFmtId="10" fontId="6" fillId="0" borderId="20" xfId="2" applyNumberFormat="1" applyFont="1" applyBorder="1" applyAlignment="1">
      <alignment horizontal="center"/>
    </xf>
    <xf numFmtId="10" fontId="6" fillId="0" borderId="7" xfId="2" applyNumberFormat="1" applyFont="1" applyBorder="1" applyAlignment="1">
      <alignment horizontal="center"/>
    </xf>
    <xf numFmtId="10" fontId="6" fillId="0" borderId="8" xfId="2" applyNumberFormat="1" applyFont="1" applyBorder="1" applyAlignment="1">
      <alignment horizontal="center"/>
    </xf>
    <xf numFmtId="10" fontId="6" fillId="0" borderId="8" xfId="2" applyNumberFormat="1" applyFont="1" applyFill="1" applyBorder="1" applyAlignment="1">
      <alignment horizontal="center"/>
    </xf>
    <xf numFmtId="10" fontId="6" fillId="0" borderId="9" xfId="2" applyNumberFormat="1" applyFont="1" applyBorder="1" applyAlignment="1">
      <alignment horizontal="center"/>
    </xf>
    <xf numFmtId="166" fontId="0" fillId="0" borderId="0" xfId="2" applyNumberFormat="1" applyFont="1"/>
    <xf numFmtId="0" fontId="3" fillId="3" borderId="0" xfId="4"/>
    <xf numFmtId="167" fontId="0" fillId="0" borderId="0" xfId="2" applyNumberFormat="1" applyFont="1"/>
    <xf numFmtId="164" fontId="0" fillId="0" borderId="15" xfId="1" applyNumberFormat="1" applyFont="1" applyBorder="1"/>
    <xf numFmtId="10" fontId="0" fillId="0" borderId="15" xfId="0" applyNumberFormat="1" applyBorder="1" applyAlignment="1">
      <alignment horizontal="center"/>
    </xf>
    <xf numFmtId="0" fontId="3" fillId="3" borderId="15" xfId="4" applyBorder="1"/>
    <xf numFmtId="0" fontId="4" fillId="4" borderId="33" xfId="5" applyBorder="1"/>
    <xf numFmtId="0" fontId="3" fillId="3" borderId="37" xfId="4" applyBorder="1"/>
    <xf numFmtId="0" fontId="3" fillId="3" borderId="38" xfId="4" applyBorder="1"/>
    <xf numFmtId="0" fontId="3" fillId="3" borderId="34" xfId="4" applyBorder="1"/>
    <xf numFmtId="0" fontId="3" fillId="3" borderId="28" xfId="4" applyBorder="1"/>
    <xf numFmtId="0" fontId="3" fillId="3" borderId="39" xfId="4" applyBorder="1"/>
    <xf numFmtId="0" fontId="3" fillId="3" borderId="29" xfId="4" applyBorder="1"/>
    <xf numFmtId="0" fontId="6" fillId="0" borderId="0" xfId="6"/>
    <xf numFmtId="43" fontId="2" fillId="2" borderId="37" xfId="7" applyFont="1" applyFill="1" applyBorder="1"/>
    <xf numFmtId="43" fontId="0" fillId="0" borderId="0" xfId="7" applyFont="1"/>
    <xf numFmtId="43" fontId="0" fillId="8" borderId="15" xfId="7" applyFont="1" applyFill="1" applyBorder="1"/>
    <xf numFmtId="0" fontId="8" fillId="0" borderId="0" xfId="6" applyFont="1"/>
    <xf numFmtId="0" fontId="8" fillId="0" borderId="0" xfId="6" applyFont="1" applyAlignment="1">
      <alignment wrapText="1"/>
    </xf>
    <xf numFmtId="43" fontId="8" fillId="0" borderId="0" xfId="7" applyFont="1"/>
    <xf numFmtId="0" fontId="6" fillId="0" borderId="15" xfId="6" applyBorder="1"/>
    <xf numFmtId="0" fontId="2" fillId="2" borderId="15" xfId="3" applyBorder="1"/>
    <xf numFmtId="0" fontId="6" fillId="0" borderId="28" xfId="6" applyBorder="1"/>
    <xf numFmtId="0" fontId="6" fillId="0" borderId="39" xfId="6" applyBorder="1"/>
    <xf numFmtId="43" fontId="6" fillId="0" borderId="29" xfId="1" applyFont="1" applyBorder="1"/>
    <xf numFmtId="43" fontId="6" fillId="0" borderId="15" xfId="1" applyFont="1" applyBorder="1"/>
    <xf numFmtId="9" fontId="0" fillId="0" borderId="0" xfId="2" applyFont="1"/>
    <xf numFmtId="0" fontId="10" fillId="0" borderId="0" xfId="0" applyFont="1" applyAlignment="1">
      <alignment vertical="center"/>
    </xf>
    <xf numFmtId="0" fontId="10" fillId="0" borderId="0" xfId="0" applyFont="1"/>
    <xf numFmtId="0" fontId="11" fillId="0" borderId="0" xfId="0" applyFont="1" applyAlignment="1">
      <alignment vertical="center"/>
    </xf>
    <xf numFmtId="0" fontId="12" fillId="0" borderId="0" xfId="0" applyFont="1" applyAlignment="1">
      <alignment vertical="center" wrapText="1"/>
    </xf>
    <xf numFmtId="0" fontId="10" fillId="6" borderId="22" xfId="0" applyFont="1" applyFill="1" applyBorder="1" applyAlignment="1" applyProtection="1">
      <alignment horizontal="center" vertical="center" wrapText="1"/>
      <protection locked="0"/>
    </xf>
    <xf numFmtId="14" fontId="10" fillId="6" borderId="17" xfId="0" applyNumberFormat="1" applyFont="1" applyFill="1" applyBorder="1" applyAlignment="1" applyProtection="1">
      <alignment horizontal="center" vertical="center" wrapText="1"/>
      <protection locked="0"/>
    </xf>
    <xf numFmtId="168" fontId="10" fillId="6" borderId="17" xfId="0" applyNumberFormat="1" applyFont="1" applyFill="1" applyBorder="1" applyAlignment="1" applyProtection="1">
      <alignment horizontal="center" vertical="center" wrapText="1"/>
      <protection locked="0"/>
    </xf>
    <xf numFmtId="0" fontId="12" fillId="0" borderId="0" xfId="0" applyFont="1" applyAlignment="1">
      <alignment horizontal="center" vertical="center" wrapText="1"/>
    </xf>
    <xf numFmtId="10" fontId="10" fillId="6" borderId="17" xfId="2" applyNumberFormat="1" applyFont="1" applyFill="1" applyBorder="1" applyAlignment="1" applyProtection="1">
      <alignment horizontal="center" vertical="center" wrapText="1"/>
      <protection locked="0"/>
    </xf>
    <xf numFmtId="14" fontId="13" fillId="0" borderId="0" xfId="0" applyNumberFormat="1" applyFont="1" applyAlignment="1">
      <alignment vertical="center"/>
    </xf>
    <xf numFmtId="0" fontId="12" fillId="0" borderId="0" xfId="0" applyFont="1" applyAlignment="1">
      <alignment horizontal="center" vertical="center"/>
    </xf>
    <xf numFmtId="9" fontId="10" fillId="0" borderId="36" xfId="2" applyFont="1" applyBorder="1" applyAlignment="1" applyProtection="1">
      <alignment horizontal="center" vertical="center" wrapText="1"/>
    </xf>
    <xf numFmtId="0" fontId="13" fillId="0" borderId="28" xfId="0" applyFont="1" applyBorder="1" applyAlignment="1">
      <alignment horizontal="center" vertical="center" wrapText="1"/>
    </xf>
    <xf numFmtId="0" fontId="13" fillId="0" borderId="39" xfId="0" applyFont="1" applyBorder="1" applyAlignment="1">
      <alignment horizontal="center" vertical="center"/>
    </xf>
    <xf numFmtId="43" fontId="10" fillId="0" borderId="29" xfId="1" applyFont="1" applyBorder="1" applyAlignment="1" applyProtection="1">
      <alignment horizontal="center" vertical="center"/>
    </xf>
    <xf numFmtId="0" fontId="10" fillId="6" borderId="4" xfId="0" applyFont="1" applyFill="1" applyBorder="1" applyAlignment="1" applyProtection="1">
      <alignment horizontal="center" vertical="center" wrapText="1"/>
      <protection locked="0"/>
    </xf>
    <xf numFmtId="168" fontId="10" fillId="6" borderId="5" xfId="0" applyNumberFormat="1" applyFont="1" applyFill="1" applyBorder="1" applyAlignment="1" applyProtection="1">
      <alignment horizontal="center" vertical="center" wrapText="1"/>
      <protection locked="0"/>
    </xf>
    <xf numFmtId="0" fontId="15" fillId="0" borderId="0" xfId="0" applyFont="1" applyAlignment="1">
      <alignment vertical="center"/>
    </xf>
    <xf numFmtId="0" fontId="10" fillId="6" borderId="21" xfId="0" applyFont="1" applyFill="1" applyBorder="1" applyAlignment="1" applyProtection="1">
      <alignment horizontal="center" vertical="center" wrapText="1"/>
      <protection locked="0"/>
    </xf>
    <xf numFmtId="168" fontId="10" fillId="6" borderId="15" xfId="0" applyNumberFormat="1" applyFont="1" applyFill="1" applyBorder="1" applyAlignment="1" applyProtection="1">
      <alignment horizontal="center" vertical="center" wrapText="1"/>
      <protection locked="0"/>
    </xf>
    <xf numFmtId="0" fontId="10" fillId="6" borderId="41" xfId="0" applyFont="1" applyFill="1" applyBorder="1" applyAlignment="1" applyProtection="1">
      <alignment horizontal="center" vertical="center" wrapText="1"/>
      <protection locked="0"/>
    </xf>
    <xf numFmtId="168" fontId="10" fillId="6" borderId="8" xfId="0" applyNumberFormat="1"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0" fillId="0" borderId="33" xfId="0" applyFont="1" applyBorder="1" applyAlignment="1">
      <alignment vertical="center"/>
    </xf>
    <xf numFmtId="0" fontId="13" fillId="0" borderId="39" xfId="0" applyFont="1" applyBorder="1" applyAlignment="1">
      <alignment horizontal="center" vertical="center" wrapText="1"/>
    </xf>
    <xf numFmtId="0" fontId="13" fillId="0" borderId="29" xfId="0" applyFont="1" applyBorder="1" applyAlignment="1">
      <alignment horizontal="center" vertical="center" wrapText="1"/>
    </xf>
    <xf numFmtId="168" fontId="10" fillId="6" borderId="24" xfId="0" applyNumberFormat="1" applyFont="1" applyFill="1" applyBorder="1" applyAlignment="1" applyProtection="1">
      <alignment horizontal="center" vertical="center" wrapText="1"/>
      <protection locked="0"/>
    </xf>
    <xf numFmtId="0" fontId="10" fillId="6" borderId="27" xfId="0" applyFont="1" applyFill="1" applyBorder="1" applyAlignment="1" applyProtection="1">
      <alignment horizontal="center" vertical="center" wrapText="1"/>
      <protection locked="0"/>
    </xf>
    <xf numFmtId="0" fontId="10" fillId="6" borderId="20" xfId="0" applyFont="1" applyFill="1" applyBorder="1" applyAlignment="1" applyProtection="1">
      <alignment horizontal="center" vertical="center" wrapText="1"/>
      <protection locked="0"/>
    </xf>
    <xf numFmtId="0" fontId="10" fillId="6" borderId="16" xfId="0" applyFont="1" applyFill="1" applyBorder="1" applyAlignment="1" applyProtection="1">
      <alignment horizontal="center" vertical="center" wrapText="1"/>
      <protection locked="0"/>
    </xf>
    <xf numFmtId="0" fontId="10" fillId="6" borderId="23" xfId="0" applyFont="1" applyFill="1" applyBorder="1" applyAlignment="1" applyProtection="1">
      <alignment horizontal="center" vertical="center" wrapText="1"/>
      <protection locked="0"/>
    </xf>
    <xf numFmtId="168" fontId="10" fillId="6" borderId="18" xfId="0" applyNumberFormat="1"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vertical="center" wrapText="1"/>
      <protection locked="0"/>
    </xf>
    <xf numFmtId="0" fontId="10" fillId="0" borderId="42" xfId="0" applyFont="1" applyBorder="1" applyAlignment="1">
      <alignment vertical="center" wrapText="1"/>
    </xf>
    <xf numFmtId="165" fontId="10" fillId="0" borderId="36" xfId="0" applyNumberFormat="1" applyFont="1" applyBorder="1" applyAlignment="1">
      <alignment horizontal="center" vertical="center"/>
    </xf>
    <xf numFmtId="0" fontId="13" fillId="0" borderId="0" xfId="0" applyFont="1" applyAlignment="1">
      <alignment vertical="center"/>
    </xf>
    <xf numFmtId="0" fontId="10" fillId="6" borderId="6" xfId="0" applyFont="1" applyFill="1" applyBorder="1" applyAlignment="1" applyProtection="1">
      <alignment horizontal="center" vertical="center" wrapText="1"/>
      <protection locked="0"/>
    </xf>
    <xf numFmtId="0" fontId="15" fillId="0" borderId="0" xfId="0" applyFont="1" applyAlignment="1">
      <alignment horizontal="center" vertical="center"/>
    </xf>
    <xf numFmtId="0" fontId="10" fillId="6" borderId="22" xfId="0" applyFont="1" applyFill="1" applyBorder="1" applyAlignment="1" applyProtection="1">
      <alignment vertical="center" wrapText="1"/>
      <protection locked="0"/>
    </xf>
    <xf numFmtId="0" fontId="10" fillId="6" borderId="32" xfId="0" applyFont="1" applyFill="1" applyBorder="1" applyAlignment="1" applyProtection="1">
      <alignment vertical="center" wrapText="1"/>
      <protection locked="0"/>
    </xf>
    <xf numFmtId="0" fontId="13" fillId="0" borderId="33" xfId="0" applyFont="1" applyBorder="1" applyAlignment="1">
      <alignment vertical="center"/>
    </xf>
    <xf numFmtId="0" fontId="16" fillId="0" borderId="0" xfId="0" applyFont="1" applyAlignment="1">
      <alignment vertical="center"/>
    </xf>
    <xf numFmtId="0" fontId="10" fillId="6" borderId="40" xfId="2" applyNumberFormat="1" applyFont="1" applyFill="1" applyBorder="1" applyAlignment="1" applyProtection="1">
      <alignment vertical="center" wrapText="1"/>
      <protection locked="0"/>
    </xf>
    <xf numFmtId="0" fontId="6" fillId="0" borderId="0" xfId="0" applyFont="1" applyAlignment="1">
      <alignment horizontal="center" vertical="center" wrapText="1"/>
    </xf>
    <xf numFmtId="14" fontId="6" fillId="0" borderId="0" xfId="0" applyNumberFormat="1" applyFont="1" applyAlignment="1">
      <alignment horizontal="center" vertical="center"/>
    </xf>
    <xf numFmtId="0" fontId="6" fillId="0" borderId="0" xfId="0" applyFont="1" applyAlignment="1">
      <alignment horizontal="center"/>
    </xf>
    <xf numFmtId="0" fontId="10" fillId="0" borderId="0" xfId="0" applyFont="1" applyAlignment="1">
      <alignment horizontal="center"/>
    </xf>
    <xf numFmtId="9" fontId="10" fillId="6" borderId="16" xfId="0" applyNumberFormat="1" applyFont="1" applyFill="1" applyBorder="1" applyAlignment="1" applyProtection="1">
      <alignment horizontal="center" vertical="center" wrapText="1"/>
      <protection locked="0"/>
    </xf>
    <xf numFmtId="9" fontId="0" fillId="0" borderId="0" xfId="0" applyNumberFormat="1"/>
    <xf numFmtId="0" fontId="0" fillId="0" borderId="1" xfId="0" applyBorder="1"/>
    <xf numFmtId="0" fontId="0" fillId="0" borderId="2" xfId="0" applyBorder="1"/>
    <xf numFmtId="0" fontId="3" fillId="3" borderId="3" xfId="4" applyBorder="1"/>
    <xf numFmtId="9" fontId="0" fillId="6" borderId="15" xfId="0" applyNumberFormat="1" applyFill="1" applyBorder="1"/>
    <xf numFmtId="10" fontId="0" fillId="6" borderId="15" xfId="0" applyNumberFormat="1" applyFill="1" applyBorder="1"/>
    <xf numFmtId="0" fontId="0" fillId="6" borderId="15" xfId="0" applyFill="1" applyBorder="1"/>
    <xf numFmtId="10" fontId="3" fillId="3" borderId="15" xfId="4" applyNumberFormat="1" applyBorder="1"/>
    <xf numFmtId="0" fontId="0" fillId="0" borderId="46" xfId="0" applyBorder="1"/>
    <xf numFmtId="0" fontId="0" fillId="0" borderId="37" xfId="0" applyBorder="1"/>
    <xf numFmtId="0" fontId="6" fillId="0" borderId="38" xfId="6" applyBorder="1"/>
    <xf numFmtId="0" fontId="6" fillId="0" borderId="44" xfId="6" applyBorder="1"/>
    <xf numFmtId="2" fontId="0" fillId="0" borderId="0" xfId="2" applyNumberFormat="1" applyFont="1"/>
    <xf numFmtId="9" fontId="13" fillId="0" borderId="33" xfId="0" applyNumberFormat="1" applyFont="1" applyBorder="1" applyAlignment="1">
      <alignment horizontal="center" vertical="center"/>
    </xf>
    <xf numFmtId="0" fontId="15" fillId="0" borderId="0" xfId="0" applyFont="1" applyAlignment="1">
      <alignment horizontal="center"/>
    </xf>
    <xf numFmtId="0" fontId="6" fillId="0" borderId="15" xfId="0" applyFont="1" applyBorder="1" applyAlignment="1">
      <alignment horizontal="center" vertical="center" wrapText="1"/>
    </xf>
    <xf numFmtId="0" fontId="10" fillId="6" borderId="42" xfId="0" applyFont="1" applyFill="1" applyBorder="1" applyAlignment="1" applyProtection="1">
      <alignment horizontal="center" vertical="center" wrapText="1"/>
      <protection locked="0"/>
    </xf>
    <xf numFmtId="14" fontId="10" fillId="6" borderId="47" xfId="0" applyNumberFormat="1" applyFont="1" applyFill="1" applyBorder="1" applyAlignment="1" applyProtection="1">
      <alignment horizontal="center" vertical="center" wrapText="1"/>
      <protection locked="0"/>
    </xf>
    <xf numFmtId="0" fontId="10" fillId="6" borderId="47" xfId="0" applyFont="1" applyFill="1" applyBorder="1" applyAlignment="1" applyProtection="1">
      <alignment horizontal="center" vertical="center" wrapText="1"/>
      <protection locked="0"/>
    </xf>
    <xf numFmtId="0" fontId="10" fillId="6" borderId="48" xfId="0" applyFont="1" applyFill="1" applyBorder="1" applyAlignment="1" applyProtection="1">
      <alignment horizontal="center" vertical="center" wrapText="1"/>
      <protection locked="0"/>
    </xf>
    <xf numFmtId="0" fontId="10" fillId="6" borderId="49" xfId="0" applyFont="1" applyFill="1" applyBorder="1" applyAlignment="1" applyProtection="1">
      <alignment horizontal="center" vertical="center" wrapText="1"/>
      <protection locked="0"/>
    </xf>
    <xf numFmtId="9" fontId="13" fillId="0" borderId="0" xfId="0" applyNumberFormat="1" applyFont="1" applyAlignment="1">
      <alignment horizontal="center" vertical="center"/>
    </xf>
    <xf numFmtId="0" fontId="13" fillId="0" borderId="28" xfId="0" applyFont="1" applyBorder="1" applyAlignment="1">
      <alignment vertical="center" wrapText="1"/>
    </xf>
    <xf numFmtId="9" fontId="10" fillId="6" borderId="9" xfId="0" applyNumberFormat="1" applyFont="1" applyFill="1" applyBorder="1" applyAlignment="1" applyProtection="1">
      <alignment horizontal="center" vertical="center" wrapText="1"/>
      <protection locked="0"/>
    </xf>
    <xf numFmtId="0" fontId="5" fillId="0" borderId="18" xfId="0" applyFont="1" applyBorder="1"/>
    <xf numFmtId="10" fontId="0" fillId="0" borderId="0" xfId="2" applyNumberFormat="1" applyFont="1" applyFill="1" applyBorder="1"/>
    <xf numFmtId="10" fontId="10" fillId="6" borderId="24" xfId="2" applyNumberFormat="1" applyFont="1" applyFill="1" applyBorder="1" applyAlignment="1" applyProtection="1">
      <alignment horizontal="center" vertical="center" wrapText="1"/>
      <protection locked="0"/>
    </xf>
    <xf numFmtId="10" fontId="10" fillId="6" borderId="15" xfId="2" applyNumberFormat="1" applyFont="1" applyFill="1" applyBorder="1" applyAlignment="1" applyProtection="1">
      <alignment horizontal="center" vertical="center" wrapText="1"/>
      <protection locked="0"/>
    </xf>
    <xf numFmtId="10" fontId="10" fillId="6" borderId="8" xfId="2" applyNumberFormat="1" applyFont="1" applyFill="1" applyBorder="1" applyAlignment="1" applyProtection="1">
      <alignment horizontal="center" vertical="center" wrapText="1"/>
      <protection locked="0"/>
    </xf>
    <xf numFmtId="0" fontId="17" fillId="0" borderId="0" xfId="0" applyFont="1" applyAlignment="1">
      <alignment horizontal="center" vertical="center"/>
    </xf>
    <xf numFmtId="10" fontId="10" fillId="6" borderId="42" xfId="2" applyNumberFormat="1" applyFont="1" applyFill="1" applyBorder="1" applyAlignment="1" applyProtection="1">
      <alignment horizontal="center" vertical="center" wrapText="1"/>
      <protection locked="0"/>
    </xf>
    <xf numFmtId="10" fontId="10" fillId="6" borderId="27" xfId="0" applyNumberFormat="1" applyFont="1" applyFill="1" applyBorder="1" applyAlignment="1" applyProtection="1">
      <alignment horizontal="center" vertical="center" wrapText="1"/>
      <protection locked="0"/>
    </xf>
    <xf numFmtId="10" fontId="10" fillId="6" borderId="16" xfId="0" applyNumberFormat="1" applyFont="1" applyFill="1" applyBorder="1" applyAlignment="1" applyProtection="1">
      <alignment horizontal="center" vertical="center" wrapText="1"/>
      <protection locked="0"/>
    </xf>
    <xf numFmtId="10" fontId="10" fillId="6" borderId="9" xfId="0" applyNumberFormat="1" applyFont="1" applyFill="1" applyBorder="1" applyAlignment="1" applyProtection="1">
      <alignment horizontal="center" vertical="center" wrapText="1"/>
      <protection locked="0"/>
    </xf>
    <xf numFmtId="169" fontId="10" fillId="6" borderId="47" xfId="0" applyNumberFormat="1" applyFont="1" applyFill="1" applyBorder="1" applyAlignment="1" applyProtection="1">
      <alignment horizontal="center" vertical="center" wrapText="1"/>
      <protection locked="0"/>
    </xf>
    <xf numFmtId="0" fontId="12" fillId="0" borderId="0" xfId="0" applyFont="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20" xfId="0" applyFont="1" applyBorder="1" applyAlignment="1">
      <alignment horizontal="center" vertical="center"/>
    </xf>
    <xf numFmtId="0" fontId="10" fillId="0" borderId="16" xfId="0" applyFont="1" applyBorder="1" applyAlignment="1">
      <alignment horizontal="center" vertical="center"/>
    </xf>
    <xf numFmtId="0" fontId="10" fillId="0" borderId="20" xfId="0" applyFont="1" applyBorder="1" applyAlignment="1">
      <alignment horizontal="left" vertical="center"/>
    </xf>
    <xf numFmtId="0" fontId="10" fillId="0" borderId="15" xfId="0" applyFont="1" applyBorder="1" applyAlignment="1">
      <alignment horizontal="left" vertical="center"/>
    </xf>
    <xf numFmtId="0" fontId="10" fillId="6" borderId="2" xfId="0" applyFont="1" applyFill="1" applyBorder="1" applyAlignment="1" applyProtection="1">
      <alignment horizontal="center" vertical="center" wrapText="1"/>
      <protection locked="0"/>
    </xf>
    <xf numFmtId="0" fontId="10" fillId="6" borderId="3" xfId="0" applyFont="1" applyFill="1" applyBorder="1" applyAlignment="1" applyProtection="1">
      <alignment horizontal="center" vertical="center" wrapText="1"/>
      <protection locked="0"/>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2" xfId="0" applyFont="1" applyFill="1" applyBorder="1" applyAlignment="1">
      <alignment horizontal="center" vertical="center"/>
    </xf>
    <xf numFmtId="9" fontId="13" fillId="0" borderId="37" xfId="0" applyNumberFormat="1" applyFont="1" applyBorder="1" applyAlignment="1">
      <alignment horizontal="center" vertical="center" wrapText="1"/>
    </xf>
    <xf numFmtId="9" fontId="13" fillId="0" borderId="44"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13" fillId="5" borderId="1"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10" fillId="0" borderId="19" xfId="0" applyFont="1" applyBorder="1" applyAlignment="1">
      <alignment horizontal="center" vertical="center"/>
    </xf>
    <xf numFmtId="0" fontId="10" fillId="0" borderId="40" xfId="0" applyFont="1" applyBorder="1" applyAlignment="1">
      <alignment horizontal="center" vertical="center"/>
    </xf>
    <xf numFmtId="0" fontId="14" fillId="0" borderId="0" xfId="0" applyFont="1" applyAlignment="1">
      <alignment horizontal="left" vertical="center"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9" fontId="10" fillId="0" borderId="1" xfId="0" applyNumberFormat="1" applyFont="1" applyBorder="1" applyAlignment="1">
      <alignment horizontal="center" vertical="center"/>
    </xf>
    <xf numFmtId="9" fontId="10" fillId="0" borderId="2" xfId="0" applyNumberFormat="1" applyFont="1" applyBorder="1" applyAlignment="1">
      <alignment horizontal="center" vertical="center"/>
    </xf>
    <xf numFmtId="9" fontId="10" fillId="0" borderId="3"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2" fillId="0" borderId="0" xfId="0" applyFont="1" applyAlignment="1">
      <alignment horizontal="left" vertical="center" wrapText="1"/>
    </xf>
    <xf numFmtId="0" fontId="10" fillId="0" borderId="17" xfId="2" applyNumberFormat="1" applyFont="1" applyBorder="1" applyAlignment="1" applyProtection="1">
      <alignment horizontal="center" vertical="center" wrapText="1"/>
    </xf>
    <xf numFmtId="0" fontId="13" fillId="5" borderId="1" xfId="0" applyFont="1" applyFill="1" applyBorder="1" applyAlignment="1">
      <alignment horizontal="left" vertical="center"/>
    </xf>
    <xf numFmtId="0" fontId="13" fillId="5" borderId="2" xfId="0" applyFont="1" applyFill="1" applyBorder="1" applyAlignment="1">
      <alignment horizontal="left" vertical="center"/>
    </xf>
    <xf numFmtId="0" fontId="13" fillId="5" borderId="3" xfId="0" applyFont="1" applyFill="1" applyBorder="1" applyAlignment="1">
      <alignment horizontal="left" vertical="center"/>
    </xf>
    <xf numFmtId="0" fontId="10" fillId="6" borderId="10" xfId="0" applyFont="1" applyFill="1" applyBorder="1" applyAlignment="1" applyProtection="1">
      <alignment horizontal="center" vertical="center" wrapText="1"/>
      <protection locked="0"/>
    </xf>
    <xf numFmtId="0" fontId="10" fillId="6" borderId="11" xfId="0" applyFont="1" applyFill="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10" fillId="6" borderId="30" xfId="0" applyFont="1" applyFill="1" applyBorder="1" applyAlignment="1" applyProtection="1">
      <alignment horizontal="center" vertical="center" wrapText="1"/>
      <protection locked="0"/>
    </xf>
    <xf numFmtId="0" fontId="10" fillId="6" borderId="31" xfId="0" applyFont="1" applyFill="1" applyBorder="1" applyAlignment="1" applyProtection="1">
      <alignment horizontal="center" vertical="center" wrapText="1"/>
      <protection locked="0"/>
    </xf>
    <xf numFmtId="0" fontId="10" fillId="6" borderId="32" xfId="0" applyFont="1" applyFill="1" applyBorder="1" applyAlignment="1" applyProtection="1">
      <alignment horizontal="center" vertical="center" wrapText="1"/>
      <protection locked="0"/>
    </xf>
    <xf numFmtId="0" fontId="10" fillId="0" borderId="23" xfId="0" applyFont="1" applyBorder="1" applyAlignment="1">
      <alignment horizontal="center" vertical="center"/>
    </xf>
    <xf numFmtId="0" fontId="10" fillId="0" borderId="45" xfId="0" applyFont="1" applyBorder="1" applyAlignment="1">
      <alignment horizontal="center" vertic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10" fillId="6" borderId="10"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12" xfId="0" applyFont="1" applyFill="1" applyBorder="1" applyAlignment="1" applyProtection="1">
      <alignment horizontal="center" vertical="center"/>
      <protection locked="0"/>
    </xf>
    <xf numFmtId="0" fontId="10" fillId="6" borderId="30" xfId="0" applyFont="1" applyFill="1" applyBorder="1" applyAlignment="1" applyProtection="1">
      <alignment horizontal="center" vertical="center"/>
      <protection locked="0"/>
    </xf>
    <xf numFmtId="0" fontId="10" fillId="6" borderId="31" xfId="0" applyFont="1" applyFill="1" applyBorder="1" applyAlignment="1" applyProtection="1">
      <alignment horizontal="center" vertical="center"/>
      <protection locked="0"/>
    </xf>
    <xf numFmtId="0" fontId="10" fillId="6" borderId="32" xfId="0" applyFont="1" applyFill="1" applyBorder="1" applyAlignment="1" applyProtection="1">
      <alignment horizontal="center" vertical="center"/>
      <protection locked="0"/>
    </xf>
    <xf numFmtId="0" fontId="10" fillId="0" borderId="19" xfId="0" applyFont="1" applyBorder="1" applyAlignment="1">
      <alignment horizontal="left" vertical="center" wrapText="1"/>
    </xf>
    <xf numFmtId="0" fontId="10" fillId="0" borderId="40" xfId="0" applyFont="1" applyBorder="1" applyAlignment="1">
      <alignment horizontal="left" vertical="center" wrapText="1"/>
    </xf>
    <xf numFmtId="0" fontId="10" fillId="0" borderId="13" xfId="0" applyFont="1" applyBorder="1" applyAlignment="1">
      <alignment horizontal="left" vertical="center" wrapText="1"/>
    </xf>
    <xf numFmtId="0" fontId="10" fillId="0" borderId="36" xfId="0" applyFont="1" applyBorder="1" applyAlignment="1">
      <alignment horizontal="left" vertical="center" wrapText="1"/>
    </xf>
    <xf numFmtId="0" fontId="10" fillId="0" borderId="14" xfId="0" applyFont="1" applyBorder="1" applyAlignment="1">
      <alignment horizontal="left" vertical="center" wrapText="1"/>
    </xf>
    <xf numFmtId="0" fontId="10" fillId="0" borderId="17" xfId="0" applyFont="1" applyBorder="1" applyAlignment="1">
      <alignment horizontal="left"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3" fillId="5" borderId="1"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3" fillId="3" borderId="15" xfId="4" applyBorder="1" applyAlignment="1">
      <alignment horizontal="center"/>
    </xf>
    <xf numFmtId="0" fontId="3" fillId="3" borderId="10" xfId="4" applyBorder="1" applyAlignment="1">
      <alignment horizontal="center"/>
    </xf>
    <xf numFmtId="0" fontId="3" fillId="3" borderId="11" xfId="4" applyBorder="1" applyAlignment="1">
      <alignment horizontal="center"/>
    </xf>
    <xf numFmtId="0" fontId="3" fillId="3" borderId="12" xfId="4" applyBorder="1" applyAlignment="1">
      <alignment horizontal="center"/>
    </xf>
    <xf numFmtId="0" fontId="3" fillId="3" borderId="1" xfId="4" applyBorder="1" applyAlignment="1">
      <alignment horizontal="center"/>
    </xf>
    <xf numFmtId="0" fontId="3" fillId="3" borderId="2" xfId="4" applyBorder="1" applyAlignment="1">
      <alignment horizontal="center"/>
    </xf>
    <xf numFmtId="0" fontId="3" fillId="3" borderId="3" xfId="4" applyBorder="1" applyAlignment="1">
      <alignment horizontal="center"/>
    </xf>
    <xf numFmtId="0" fontId="3" fillId="3" borderId="30" xfId="4" applyBorder="1" applyAlignment="1">
      <alignment horizontal="center"/>
    </xf>
    <xf numFmtId="0" fontId="3" fillId="3" borderId="31" xfId="4" applyBorder="1" applyAlignment="1">
      <alignment horizontal="center"/>
    </xf>
    <xf numFmtId="0" fontId="3" fillId="3" borderId="13" xfId="4" applyBorder="1" applyAlignment="1">
      <alignment horizontal="center"/>
    </xf>
    <xf numFmtId="0" fontId="3" fillId="3" borderId="26" xfId="4" applyBorder="1" applyAlignment="1">
      <alignment horizontal="center"/>
    </xf>
    <xf numFmtId="10" fontId="10" fillId="6" borderId="43" xfId="2" applyNumberFormat="1" applyFont="1" applyFill="1" applyBorder="1" applyAlignment="1" applyProtection="1">
      <alignment horizontal="center" vertical="center" wrapText="1"/>
      <protection locked="0"/>
    </xf>
    <xf numFmtId="10" fontId="10" fillId="6" borderId="44" xfId="2" applyNumberFormat="1" applyFont="1" applyFill="1" applyBorder="1" applyAlignment="1" applyProtection="1">
      <alignment horizontal="center" vertical="center" wrapText="1"/>
      <protection locked="0"/>
    </xf>
  </cellXfs>
  <cellStyles count="8">
    <cellStyle name="Bad" xfId="4" builtinId="27"/>
    <cellStyle name="Comma" xfId="1" builtinId="3"/>
    <cellStyle name="Comma 2" xfId="7" xr:uid="{F76B4D0A-9779-43A4-8595-6E9672E90A11}"/>
    <cellStyle name="Good" xfId="3" builtinId="26"/>
    <cellStyle name="Neutral" xfId="5" builtinId="28"/>
    <cellStyle name="Normal" xfId="0" builtinId="0"/>
    <cellStyle name="Normal 2" xfId="6" xr:uid="{082D315B-FC12-4E18-BC4C-47C552642B62}"/>
    <cellStyle name="Percent" xfId="2" builtinId="5"/>
  </cellStyles>
  <dxfs count="13">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ill>
        <patternFill patternType="none">
          <bgColor auto="1"/>
        </patternFill>
      </fill>
    </dxf>
    <dxf>
      <border>
        <left style="thin">
          <color auto="1"/>
        </left>
        <right/>
        <top/>
        <bottom/>
        <vertical/>
        <horizontal/>
      </border>
    </dxf>
    <dxf>
      <fill>
        <patternFill patternType="none">
          <bgColor auto="1"/>
        </patternFill>
      </fill>
    </dxf>
    <dxf>
      <fill>
        <patternFill patternType="none">
          <bgColor auto="1"/>
        </patternFill>
      </fill>
    </dxf>
    <dxf>
      <font>
        <color theme="0"/>
      </font>
    </dxf>
    <dxf>
      <font>
        <color theme="0"/>
      </font>
      <fill>
        <patternFill patternType="none">
          <bgColor auto="1"/>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9999"/>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268191</xdr:colOff>
      <xdr:row>0</xdr:row>
      <xdr:rowOff>46264</xdr:rowOff>
    </xdr:from>
    <xdr:to>
      <xdr:col>9</xdr:col>
      <xdr:colOff>139843</xdr:colOff>
      <xdr:row>3</xdr:row>
      <xdr:rowOff>327860</xdr:rowOff>
    </xdr:to>
    <xdr:pic>
      <xdr:nvPicPr>
        <xdr:cNvPr id="3" name="Picture 2">
          <a:extLst>
            <a:ext uri="{FF2B5EF4-FFF2-40B4-BE49-F238E27FC236}">
              <a16:creationId xmlns:a16="http://schemas.microsoft.com/office/drawing/2014/main" id="{8D4824B7-75D7-C779-9ABC-9304FCA0B46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47" t="26738" r="12249" b="23128"/>
        <a:stretch/>
      </xdr:blipFill>
      <xdr:spPr bwMode="auto">
        <a:xfrm>
          <a:off x="14223593" y="46264"/>
          <a:ext cx="2696308" cy="1007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164224</xdr:colOff>
      <xdr:row>36</xdr:row>
      <xdr:rowOff>186119</xdr:rowOff>
    </xdr:from>
    <xdr:to>
      <xdr:col>6</xdr:col>
      <xdr:colOff>2704224</xdr:colOff>
      <xdr:row>36</xdr:row>
      <xdr:rowOff>186119</xdr:rowOff>
    </xdr:to>
    <xdr:cxnSp macro="">
      <xdr:nvCxnSpPr>
        <xdr:cNvPr id="4" name="Straight Arrow Connector 3">
          <a:extLst>
            <a:ext uri="{FF2B5EF4-FFF2-40B4-BE49-F238E27FC236}">
              <a16:creationId xmlns:a16="http://schemas.microsoft.com/office/drawing/2014/main" id="{F5A9B8B4-9EE6-8B2B-A3B1-EBB14353E9D1}"/>
            </a:ext>
          </a:extLst>
        </xdr:cNvPr>
        <xdr:cNvCxnSpPr/>
      </xdr:nvCxnSpPr>
      <xdr:spPr>
        <a:xfrm>
          <a:off x="10893534" y="8309740"/>
          <a:ext cx="25400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185244</xdr:colOff>
      <xdr:row>38</xdr:row>
      <xdr:rowOff>229038</xdr:rowOff>
    </xdr:from>
    <xdr:to>
      <xdr:col>6</xdr:col>
      <xdr:colOff>2725244</xdr:colOff>
      <xdr:row>38</xdr:row>
      <xdr:rowOff>229038</xdr:rowOff>
    </xdr:to>
    <xdr:cxnSp macro="">
      <xdr:nvCxnSpPr>
        <xdr:cNvPr id="5" name="Straight Arrow Connector 4">
          <a:extLst>
            <a:ext uri="{FF2B5EF4-FFF2-40B4-BE49-F238E27FC236}">
              <a16:creationId xmlns:a16="http://schemas.microsoft.com/office/drawing/2014/main" id="{C001DC31-910C-4F68-859A-35591CE009AD}"/>
            </a:ext>
          </a:extLst>
        </xdr:cNvPr>
        <xdr:cNvCxnSpPr/>
      </xdr:nvCxnSpPr>
      <xdr:spPr>
        <a:xfrm>
          <a:off x="10914554" y="8932917"/>
          <a:ext cx="25400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163350</xdr:colOff>
      <xdr:row>30</xdr:row>
      <xdr:rowOff>163349</xdr:rowOff>
    </xdr:from>
    <xdr:to>
      <xdr:col>6</xdr:col>
      <xdr:colOff>2703350</xdr:colOff>
      <xdr:row>30</xdr:row>
      <xdr:rowOff>163349</xdr:rowOff>
    </xdr:to>
    <xdr:cxnSp macro="">
      <xdr:nvCxnSpPr>
        <xdr:cNvPr id="6" name="Straight Arrow Connector 5">
          <a:extLst>
            <a:ext uri="{FF2B5EF4-FFF2-40B4-BE49-F238E27FC236}">
              <a16:creationId xmlns:a16="http://schemas.microsoft.com/office/drawing/2014/main" id="{A442EE84-4BB2-4FDB-B2EB-B9B4CA0C624C}"/>
            </a:ext>
          </a:extLst>
        </xdr:cNvPr>
        <xdr:cNvCxnSpPr/>
      </xdr:nvCxnSpPr>
      <xdr:spPr>
        <a:xfrm>
          <a:off x="10892660" y="6819901"/>
          <a:ext cx="25400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173426</xdr:colOff>
      <xdr:row>31</xdr:row>
      <xdr:rowOff>149112</xdr:rowOff>
    </xdr:from>
    <xdr:to>
      <xdr:col>6</xdr:col>
      <xdr:colOff>2713426</xdr:colOff>
      <xdr:row>31</xdr:row>
      <xdr:rowOff>149112</xdr:rowOff>
    </xdr:to>
    <xdr:cxnSp macro="">
      <xdr:nvCxnSpPr>
        <xdr:cNvPr id="7" name="Straight Arrow Connector 6">
          <a:extLst>
            <a:ext uri="{FF2B5EF4-FFF2-40B4-BE49-F238E27FC236}">
              <a16:creationId xmlns:a16="http://schemas.microsoft.com/office/drawing/2014/main" id="{145F207C-5D45-4CB9-B5A7-D6540104B7F0}"/>
            </a:ext>
          </a:extLst>
        </xdr:cNvPr>
        <xdr:cNvCxnSpPr/>
      </xdr:nvCxnSpPr>
      <xdr:spPr>
        <a:xfrm>
          <a:off x="10902736" y="6739974"/>
          <a:ext cx="25400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175173</xdr:colOff>
      <xdr:row>13</xdr:row>
      <xdr:rowOff>197069</xdr:rowOff>
    </xdr:from>
    <xdr:to>
      <xdr:col>6</xdr:col>
      <xdr:colOff>2715173</xdr:colOff>
      <xdr:row>13</xdr:row>
      <xdr:rowOff>197069</xdr:rowOff>
    </xdr:to>
    <xdr:cxnSp macro="">
      <xdr:nvCxnSpPr>
        <xdr:cNvPr id="8" name="Straight Arrow Connector 7">
          <a:extLst>
            <a:ext uri="{FF2B5EF4-FFF2-40B4-BE49-F238E27FC236}">
              <a16:creationId xmlns:a16="http://schemas.microsoft.com/office/drawing/2014/main" id="{A83EF21E-2660-4500-AD8A-ADFF68DBF764}"/>
            </a:ext>
          </a:extLst>
        </xdr:cNvPr>
        <xdr:cNvCxnSpPr/>
      </xdr:nvCxnSpPr>
      <xdr:spPr>
        <a:xfrm>
          <a:off x="10904483" y="3120259"/>
          <a:ext cx="25400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153276</xdr:colOff>
      <xdr:row>54</xdr:row>
      <xdr:rowOff>270058</xdr:rowOff>
    </xdr:from>
    <xdr:to>
      <xdr:col>6</xdr:col>
      <xdr:colOff>2693276</xdr:colOff>
      <xdr:row>54</xdr:row>
      <xdr:rowOff>270058</xdr:rowOff>
    </xdr:to>
    <xdr:cxnSp macro="">
      <xdr:nvCxnSpPr>
        <xdr:cNvPr id="9" name="Straight Arrow Connector 8">
          <a:extLst>
            <a:ext uri="{FF2B5EF4-FFF2-40B4-BE49-F238E27FC236}">
              <a16:creationId xmlns:a16="http://schemas.microsoft.com/office/drawing/2014/main" id="{5E8A2896-86CE-4E0E-8DAA-46880E489E7A}"/>
            </a:ext>
          </a:extLst>
        </xdr:cNvPr>
        <xdr:cNvCxnSpPr/>
      </xdr:nvCxnSpPr>
      <xdr:spPr>
        <a:xfrm>
          <a:off x="11386207" y="13437184"/>
          <a:ext cx="25400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175172</xdr:colOff>
      <xdr:row>42</xdr:row>
      <xdr:rowOff>153276</xdr:rowOff>
    </xdr:from>
    <xdr:to>
      <xdr:col>7</xdr:col>
      <xdr:colOff>19488</xdr:colOff>
      <xdr:row>42</xdr:row>
      <xdr:rowOff>153276</xdr:rowOff>
    </xdr:to>
    <xdr:cxnSp macro="">
      <xdr:nvCxnSpPr>
        <xdr:cNvPr id="2" name="Straight Arrow Connector 1">
          <a:extLst>
            <a:ext uri="{FF2B5EF4-FFF2-40B4-BE49-F238E27FC236}">
              <a16:creationId xmlns:a16="http://schemas.microsoft.com/office/drawing/2014/main" id="{BCBD52A0-D350-4EDD-B765-F7919CC9D2D3}"/>
            </a:ext>
          </a:extLst>
        </xdr:cNvPr>
        <xdr:cNvCxnSpPr/>
      </xdr:nvCxnSpPr>
      <xdr:spPr>
        <a:xfrm>
          <a:off x="12065000" y="11090604"/>
          <a:ext cx="248285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9B6C4-375B-4825-9084-E86D24EF89AB}">
  <dimension ref="A2:J106"/>
  <sheetViews>
    <sheetView showGridLines="0" tabSelected="1" zoomScaleNormal="100" workbookViewId="0">
      <pane ySplit="4" topLeftCell="A8" activePane="bottomLeft" state="frozen"/>
      <selection activeCell="B1" sqref="B1"/>
      <selection pane="bottomLeft" activeCell="G49" sqref="G49"/>
    </sheetView>
  </sheetViews>
  <sheetFormatPr defaultColWidth="0" defaultRowHeight="15" x14ac:dyDescent="0.2"/>
  <cols>
    <col min="1" max="1" width="3.140625" style="87" customWidth="1"/>
    <col min="2" max="2" width="25.140625" style="87" customWidth="1"/>
    <col min="3" max="3" width="3.85546875" style="87" customWidth="1"/>
    <col min="4" max="4" width="51.5703125" style="87" customWidth="1"/>
    <col min="5" max="5" width="40" style="87" customWidth="1"/>
    <col min="6" max="6" width="51.5703125" style="87" customWidth="1"/>
    <col min="7" max="7" width="39.5703125" style="87" customWidth="1"/>
    <col min="8" max="8" width="1" style="87" customWidth="1"/>
    <col min="9" max="9" width="42.42578125" style="109" customWidth="1"/>
    <col min="10" max="10" width="5.5703125" style="87" customWidth="1"/>
    <col min="11" max="16384" width="51.5703125" style="87" hidden="1"/>
  </cols>
  <sheetData>
    <row r="2" spans="2:9" ht="25.5" x14ac:dyDescent="0.2">
      <c r="D2" s="128" t="s">
        <v>0</v>
      </c>
    </row>
    <row r="3" spans="2:9" ht="14.25" customHeight="1" thickBot="1" x14ac:dyDescent="0.25">
      <c r="D3" s="128"/>
    </row>
    <row r="4" spans="2:9" ht="39.75" customHeight="1" thickBot="1" x14ac:dyDescent="0.25">
      <c r="B4" s="206" t="s">
        <v>50</v>
      </c>
      <c r="C4" s="207"/>
      <c r="D4" s="203">
        <f ca="1">MAX('Blank Cells'!E10,0)</f>
        <v>0</v>
      </c>
      <c r="E4" s="204"/>
      <c r="F4" s="204"/>
      <c r="G4" s="204"/>
      <c r="H4" s="205"/>
      <c r="I4" s="87"/>
    </row>
    <row r="6" spans="2:9" x14ac:dyDescent="0.2">
      <c r="D6" s="89" t="s">
        <v>1</v>
      </c>
    </row>
    <row r="7" spans="2:9" ht="51.75" customHeight="1" x14ac:dyDescent="0.2">
      <c r="D7" s="208" t="s">
        <v>2</v>
      </c>
      <c r="E7" s="208"/>
      <c r="F7" s="208"/>
      <c r="G7" s="90"/>
      <c r="I7" s="94"/>
    </row>
    <row r="8" spans="2:9" ht="15.75" thickBot="1" x14ac:dyDescent="0.25"/>
    <row r="9" spans="2:9" ht="16.5" thickBot="1" x14ac:dyDescent="0.25">
      <c r="B9" s="148" t="str">
        <f>'Blank Cells'!E2</f>
        <v>Section Incomplete</v>
      </c>
      <c r="D9" s="210" t="s">
        <v>3</v>
      </c>
      <c r="E9" s="211"/>
      <c r="F9" s="212"/>
      <c r="I9" s="87"/>
    </row>
    <row r="10" spans="2:9" x14ac:dyDescent="0.2">
      <c r="D10" s="213"/>
      <c r="E10" s="214"/>
      <c r="F10" s="215"/>
    </row>
    <row r="11" spans="2:9" ht="15.75" thickBot="1" x14ac:dyDescent="0.25">
      <c r="D11" s="216"/>
      <c r="E11" s="217"/>
      <c r="F11" s="218"/>
    </row>
    <row r="12" spans="2:9" ht="15.75" thickBot="1" x14ac:dyDescent="0.25"/>
    <row r="13" spans="2:9" ht="16.5" thickBot="1" x14ac:dyDescent="0.25">
      <c r="B13" s="148" t="str">
        <f>'Blank Cells'!E3</f>
        <v>Section Incomplete</v>
      </c>
      <c r="D13" s="183" t="s">
        <v>4</v>
      </c>
      <c r="E13" s="184"/>
      <c r="F13" s="192"/>
      <c r="I13" s="87"/>
    </row>
    <row r="14" spans="2:9" ht="25.5" x14ac:dyDescent="0.2">
      <c r="D14" s="181" t="s">
        <v>5</v>
      </c>
      <c r="E14" s="182"/>
      <c r="F14" s="151"/>
      <c r="I14" s="150" t="s">
        <v>6</v>
      </c>
    </row>
    <row r="15" spans="2:9" x14ac:dyDescent="0.2">
      <c r="D15" s="173" t="s">
        <v>7</v>
      </c>
      <c r="E15" s="174"/>
      <c r="F15" s="152"/>
    </row>
    <row r="16" spans="2:9" x14ac:dyDescent="0.2">
      <c r="D16" s="173" t="s">
        <v>8</v>
      </c>
      <c r="E16" s="174"/>
      <c r="F16" s="153"/>
    </row>
    <row r="17" spans="2:9" x14ac:dyDescent="0.2">
      <c r="D17" s="173" t="s">
        <v>9</v>
      </c>
      <c r="E17" s="174"/>
      <c r="F17" s="153"/>
    </row>
    <row r="18" spans="2:9" x14ac:dyDescent="0.2">
      <c r="D18" s="173" t="s">
        <v>10</v>
      </c>
      <c r="E18" s="174"/>
      <c r="F18" s="152"/>
    </row>
    <row r="19" spans="2:9" x14ac:dyDescent="0.2">
      <c r="D19" s="173" t="s">
        <v>11</v>
      </c>
      <c r="E19" s="174"/>
      <c r="F19" s="152"/>
    </row>
    <row r="20" spans="2:9" x14ac:dyDescent="0.2">
      <c r="D20" s="221" t="s">
        <v>12</v>
      </c>
      <c r="E20" s="222"/>
      <c r="F20" s="152"/>
    </row>
    <row r="21" spans="2:9" x14ac:dyDescent="0.2">
      <c r="D21" s="173" t="str">
        <f>IF(F20="N","","Date left company")</f>
        <v>Date left company</v>
      </c>
      <c r="E21" s="174"/>
      <c r="F21" s="152"/>
    </row>
    <row r="22" spans="2:9" x14ac:dyDescent="0.2">
      <c r="D22" s="173" t="s">
        <v>13</v>
      </c>
      <c r="E22" s="174"/>
      <c r="F22" s="153"/>
    </row>
    <row r="23" spans="2:9" x14ac:dyDescent="0.2">
      <c r="D23" s="173" t="str">
        <f>IF(F20="Y","Current Salary","Final Salary")</f>
        <v>Final Salary</v>
      </c>
      <c r="E23" s="174"/>
      <c r="F23" s="169"/>
    </row>
    <row r="24" spans="2:9" x14ac:dyDescent="0.2">
      <c r="D24" s="173" t="str">
        <f>IF(F20="Y","Has member waived their TFC in the OPS?","")</f>
        <v/>
      </c>
      <c r="E24" s="174"/>
      <c r="F24" s="116"/>
    </row>
    <row r="25" spans="2:9" ht="15.75" x14ac:dyDescent="0.2">
      <c r="D25" s="219" t="s">
        <v>14</v>
      </c>
      <c r="E25" s="220"/>
      <c r="F25" s="154"/>
      <c r="I25" s="94"/>
    </row>
    <row r="26" spans="2:9" ht="16.5" thickBot="1" x14ac:dyDescent="0.25">
      <c r="D26" s="195" t="str">
        <f>IF(OR(F25="Scheme Sponsor",F25="Other"),"Please provide further information (e.g. company name)","")</f>
        <v/>
      </c>
      <c r="E26" s="196"/>
      <c r="F26" s="155"/>
      <c r="I26" s="94"/>
    </row>
    <row r="27" spans="2:9" ht="15.75" x14ac:dyDescent="0.2">
      <c r="I27" s="94"/>
    </row>
    <row r="28" spans="2:9" ht="42" customHeight="1" x14ac:dyDescent="0.2">
      <c r="D28" s="197" t="s">
        <v>348</v>
      </c>
      <c r="E28" s="197"/>
      <c r="F28" s="197"/>
      <c r="I28" s="94"/>
    </row>
    <row r="29" spans="2:9" ht="8.25" customHeight="1" thickBot="1" x14ac:dyDescent="0.25">
      <c r="I29" s="94"/>
    </row>
    <row r="30" spans="2:9" ht="16.5" thickBot="1" x14ac:dyDescent="0.25">
      <c r="B30" s="148" t="str">
        <f>'Blank Cells'!E4</f>
        <v>Section Incomplete</v>
      </c>
      <c r="D30" s="190" t="s">
        <v>15</v>
      </c>
      <c r="E30" s="191"/>
      <c r="F30" s="192"/>
      <c r="I30" s="87"/>
    </row>
    <row r="31" spans="2:9" ht="25.5" x14ac:dyDescent="0.2">
      <c r="D31" s="193" t="s">
        <v>16</v>
      </c>
      <c r="E31" s="194"/>
      <c r="F31" s="91"/>
      <c r="I31" s="150" t="s">
        <v>353</v>
      </c>
    </row>
    <row r="32" spans="2:9" ht="27.6" customHeight="1" x14ac:dyDescent="0.2">
      <c r="D32" s="198" t="s">
        <v>17</v>
      </c>
      <c r="E32" s="199"/>
      <c r="F32" s="154"/>
      <c r="G32" s="164" t="str">
        <f>IFERROR(IF(F31=Providers!$B$5,'Aviva Comission'!E13,""),"")</f>
        <v/>
      </c>
      <c r="I32" s="150" t="s">
        <v>354</v>
      </c>
    </row>
    <row r="33" spans="4:9" ht="15.75" x14ac:dyDescent="0.2">
      <c r="D33" s="173" t="str">
        <f>IF(Providers!E20="N","","Trail commisssion payable")</f>
        <v>Trail commisssion payable</v>
      </c>
      <c r="E33" s="174"/>
      <c r="F33" s="95"/>
      <c r="G33" s="96"/>
      <c r="I33" s="131"/>
    </row>
    <row r="34" spans="4:9" ht="15.75" x14ac:dyDescent="0.2">
      <c r="D34" s="173" t="s">
        <v>18</v>
      </c>
      <c r="E34" s="174"/>
      <c r="F34" s="93"/>
      <c r="G34" s="97"/>
      <c r="I34" s="170" t="str">
        <f ca="1">IF(F35="","",IF(F35&lt;(TODAY()-(30.44*6)),"Error TV is out of date. TV's should be dated after "&amp;TEXT(TODAY()-(30.44*6),"D MMMM YYYY"),""))</f>
        <v/>
      </c>
    </row>
    <row r="35" spans="4:9" ht="15.75" thickBot="1" x14ac:dyDescent="0.25">
      <c r="D35" s="171" t="s">
        <v>350</v>
      </c>
      <c r="E35" s="172"/>
      <c r="F35" s="92"/>
      <c r="I35" s="170"/>
    </row>
    <row r="36" spans="4:9" ht="16.5" thickBot="1" x14ac:dyDescent="0.25">
      <c r="D36" s="183" t="s">
        <v>19</v>
      </c>
      <c r="E36" s="184"/>
      <c r="F36" s="185"/>
      <c r="I36" s="132"/>
    </row>
    <row r="37" spans="4:9" ht="30.75" customHeight="1" x14ac:dyDescent="0.2">
      <c r="D37" s="181" t="s">
        <v>20</v>
      </c>
      <c r="E37" s="182"/>
      <c r="F37" s="98" t="str">
        <f>IFERROR(VLOOKUP(F32,AMC!B:E,4,0),"")</f>
        <v/>
      </c>
      <c r="I37" s="150" t="s">
        <v>21</v>
      </c>
    </row>
    <row r="38" spans="4:9" x14ac:dyDescent="0.2">
      <c r="D38" s="173" t="s">
        <v>22</v>
      </c>
      <c r="E38" s="174"/>
      <c r="F38" s="209" t="str">
        <f>CONCATENATE(Providers!C22,Providers!C23,Providers!C24,Providers!C25)</f>
        <v/>
      </c>
      <c r="I38" s="188" t="s">
        <v>21</v>
      </c>
    </row>
    <row r="39" spans="4:9" ht="51" customHeight="1" x14ac:dyDescent="0.2">
      <c r="D39" s="173"/>
      <c r="E39" s="174"/>
      <c r="F39" s="209"/>
      <c r="I39" s="188"/>
    </row>
    <row r="40" spans="4:9" ht="42.75" customHeight="1" thickBot="1" x14ac:dyDescent="0.25">
      <c r="D40" s="235" t="s">
        <v>23</v>
      </c>
      <c r="E40" s="236"/>
      <c r="F40" s="129"/>
    </row>
    <row r="41" spans="4:9" ht="32.25" customHeight="1" thickBot="1" x14ac:dyDescent="0.25">
      <c r="D41" s="190" t="s">
        <v>24</v>
      </c>
      <c r="E41" s="191"/>
      <c r="F41" s="192"/>
    </row>
    <row r="42" spans="4:9" ht="16.5" thickBot="1" x14ac:dyDescent="0.25">
      <c r="D42" s="99" t="s">
        <v>25</v>
      </c>
      <c r="E42" s="100" t="s">
        <v>26</v>
      </c>
      <c r="F42" s="101" t="str">
        <f>IFERROR(Providers!D20,"")</f>
        <v/>
      </c>
      <c r="G42" s="87" t="s">
        <v>27</v>
      </c>
    </row>
    <row r="43" spans="4:9" x14ac:dyDescent="0.2">
      <c r="D43" s="102"/>
      <c r="E43" s="103"/>
      <c r="F43" s="165"/>
      <c r="G43" s="104" t="str">
        <f>IFERROR(IF(F42="Intentionally Blank","",IF(AND(OR(D43&lt;&gt;"",E43&lt;&gt;""),F43=""),"Ensure you confirm charges for fund.","")),"")</f>
        <v/>
      </c>
      <c r="I43" s="186" t="str">
        <f>IF(AND(ABS(SUM(E43:E50)-F34)&lt;5,SUM(E43:E50)&gt;=0),"ok","Sum of amount invested does not equal total Transfer Value above")</f>
        <v>ok</v>
      </c>
    </row>
    <row r="44" spans="4:9" ht="15.75" thickBot="1" x14ac:dyDescent="0.25">
      <c r="D44" s="105"/>
      <c r="E44" s="106"/>
      <c r="F44" s="258"/>
      <c r="G44" s="104" t="str">
        <f>IFERROR(IF(AND(OR(D44&lt;&gt;"",E44&lt;&gt;""),F44=""),"Ensure you confirm charges for each fund",""),"")</f>
        <v/>
      </c>
      <c r="I44" s="187"/>
    </row>
    <row r="45" spans="4:9" x14ac:dyDescent="0.2">
      <c r="D45" s="105"/>
      <c r="E45" s="106"/>
      <c r="F45" s="258"/>
      <c r="G45" s="104" t="str">
        <f t="shared" ref="G45:G49" si="0">IFERROR(IF(AND(OR(D45&lt;&gt;"",E45&lt;&gt;""),F45=""),"Ensure you confirm charges for each fund",""),"")</f>
        <v/>
      </c>
      <c r="I45" s="124" t="str">
        <f>IFERROR(IF(OR(Providers!$C$20="N", D45=""),"","Please provide fund fact sheet"),"")</f>
        <v/>
      </c>
    </row>
    <row r="46" spans="4:9" x14ac:dyDescent="0.2">
      <c r="D46" s="105"/>
      <c r="E46" s="106"/>
      <c r="F46" s="258"/>
      <c r="G46" s="104" t="str">
        <f t="shared" si="0"/>
        <v/>
      </c>
      <c r="I46" s="124" t="str">
        <f>IFERROR(IF(OR(Providers!$C$20="N", D46=""),"","Please provide fund fact sheet"),"")</f>
        <v/>
      </c>
    </row>
    <row r="47" spans="4:9" x14ac:dyDescent="0.2">
      <c r="D47" s="105"/>
      <c r="E47" s="106"/>
      <c r="F47" s="258"/>
      <c r="G47" s="104" t="str">
        <f t="shared" si="0"/>
        <v/>
      </c>
      <c r="I47" s="124" t="str">
        <f>IFERROR(IF(OR(Providers!$C$20="N", D47=""),"","Please provide fund fact sheet"),"")</f>
        <v/>
      </c>
    </row>
    <row r="48" spans="4:9" x14ac:dyDescent="0.2">
      <c r="D48" s="105"/>
      <c r="E48" s="106"/>
      <c r="F48" s="258"/>
      <c r="G48" s="104" t="str">
        <f t="shared" si="0"/>
        <v/>
      </c>
      <c r="I48" s="124" t="str">
        <f>IFERROR(IF(OR(Providers!$C$20="N", D48=""),"","Please provide fund fact sheet"),"")</f>
        <v/>
      </c>
    </row>
    <row r="49" spans="2:9" x14ac:dyDescent="0.2">
      <c r="D49" s="105"/>
      <c r="E49" s="106"/>
      <c r="F49" s="258"/>
      <c r="G49" s="104" t="str">
        <f t="shared" si="0"/>
        <v/>
      </c>
      <c r="I49" s="124" t="str">
        <f>IFERROR(IF(OR(Providers!$C$20="N", D49=""),"","Please provide fund fact sheet"),"")</f>
        <v/>
      </c>
    </row>
    <row r="50" spans="2:9" ht="15.75" thickBot="1" x14ac:dyDescent="0.25">
      <c r="D50" s="107"/>
      <c r="E50" s="108"/>
      <c r="F50" s="259"/>
      <c r="G50" s="104" t="str">
        <f>IFERROR(IF(AND(OR(D50&lt;&gt;"",E50&lt;&gt;""),F50=""),"Ensure you confirm charges for each fund",""),"")</f>
        <v/>
      </c>
      <c r="I50" s="124" t="str">
        <f>IFERROR(IF(OR(Providers!$C$20="N", D50=""),"","Please provide fund fact sheet"),"")</f>
        <v/>
      </c>
    </row>
    <row r="51" spans="2:9" customFormat="1" ht="15.75" thickBot="1" x14ac:dyDescent="0.25">
      <c r="H51" s="87"/>
    </row>
    <row r="52" spans="2:9" ht="16.5" thickBot="1" x14ac:dyDescent="0.25">
      <c r="B52" s="186" t="str">
        <f>'Blank Cells'!E5</f>
        <v>Section Incomplete</v>
      </c>
      <c r="D52" s="190" t="s">
        <v>28</v>
      </c>
      <c r="E52" s="191"/>
      <c r="F52" s="191"/>
      <c r="G52" s="192"/>
      <c r="I52" s="87"/>
    </row>
    <row r="53" spans="2:9" ht="48" customHeight="1" thickBot="1" x14ac:dyDescent="0.25">
      <c r="B53" s="187"/>
      <c r="D53" s="200" t="str">
        <f>CONCATENATE("- Please provide a copy of transfer value statement or leaving service options, if available.",
"
- List all funds in which monies are currently invested along with the AMC.
- If invested in a lifestyle please provide all funds in that lifestyle even if not currently invested.")</f>
        <v>- Please provide a copy of transfer value statement or leaving service options, if available.
- List all funds in which monies are currently invested along with the AMC.
- If invested in a lifestyle please provide all funds in that lifestyle even if not currently invested.</v>
      </c>
      <c r="E53" s="201"/>
      <c r="F53" s="201"/>
      <c r="G53" s="202"/>
      <c r="I53" s="87"/>
    </row>
    <row r="54" spans="2:9" ht="8.25" customHeight="1" thickBot="1" x14ac:dyDescent="0.25">
      <c r="I54" s="133"/>
    </row>
    <row r="55" spans="2:9" ht="41.45" customHeight="1" thickBot="1" x14ac:dyDescent="0.25">
      <c r="D55" s="110" t="s">
        <v>29</v>
      </c>
      <c r="E55" s="177"/>
      <c r="F55" s="178"/>
      <c r="G55" s="88"/>
      <c r="I55" s="148" t="str">
        <f>IF(E55="","Confirm Scheme Name","ok, scheme name completed")</f>
        <v>Confirm Scheme Name</v>
      </c>
    </row>
    <row r="56" spans="2:9" ht="6.75" customHeight="1" thickBot="1" x14ac:dyDescent="0.25">
      <c r="I56" s="156"/>
    </row>
    <row r="57" spans="2:9" ht="32.25" thickBot="1" x14ac:dyDescent="0.25">
      <c r="D57" s="157" t="s">
        <v>30</v>
      </c>
      <c r="E57" s="111" t="s">
        <v>31</v>
      </c>
      <c r="F57" s="111" t="s">
        <v>32</v>
      </c>
      <c r="G57" s="112" t="s">
        <v>33</v>
      </c>
      <c r="I57" s="133"/>
    </row>
    <row r="58" spans="2:9" x14ac:dyDescent="0.2">
      <c r="D58" s="105"/>
      <c r="E58" s="113"/>
      <c r="F58" s="161"/>
      <c r="G58" s="166"/>
      <c r="I58" s="149" t="str">
        <f>IF(AND(OR(D58&lt;&gt;"",E58&lt;&gt;""),F58=""),"Ensure you confirm charges for each fund","")</f>
        <v/>
      </c>
    </row>
    <row r="59" spans="2:9" x14ac:dyDescent="0.2">
      <c r="D59" s="115"/>
      <c r="E59" s="106"/>
      <c r="F59" s="162"/>
      <c r="G59" s="167"/>
      <c r="I59" s="149" t="str">
        <f t="shared" ref="I59:I64" si="1">IF(AND(OR(D59&lt;&gt;"",E59&lt;&gt;""),F59=""),"Ensure you confirm charges for each fund","")</f>
        <v/>
      </c>
    </row>
    <row r="60" spans="2:9" x14ac:dyDescent="0.2">
      <c r="D60" s="115"/>
      <c r="E60" s="106"/>
      <c r="F60" s="162"/>
      <c r="G60" s="167"/>
      <c r="I60" s="149" t="str">
        <f t="shared" si="1"/>
        <v/>
      </c>
    </row>
    <row r="61" spans="2:9" x14ac:dyDescent="0.2">
      <c r="D61" s="115"/>
      <c r="E61" s="106"/>
      <c r="F61" s="162"/>
      <c r="G61" s="167"/>
      <c r="I61" s="149" t="str">
        <f t="shared" si="1"/>
        <v/>
      </c>
    </row>
    <row r="62" spans="2:9" x14ac:dyDescent="0.2">
      <c r="D62" s="115"/>
      <c r="E62" s="106"/>
      <c r="F62" s="162"/>
      <c r="G62" s="167"/>
      <c r="I62" s="149" t="str">
        <f t="shared" si="1"/>
        <v/>
      </c>
    </row>
    <row r="63" spans="2:9" x14ac:dyDescent="0.2">
      <c r="D63" s="115"/>
      <c r="E63" s="106"/>
      <c r="F63" s="162"/>
      <c r="G63" s="167"/>
      <c r="I63" s="149" t="str">
        <f t="shared" si="1"/>
        <v/>
      </c>
    </row>
    <row r="64" spans="2:9" ht="15.75" thickBot="1" x14ac:dyDescent="0.25">
      <c r="D64" s="117"/>
      <c r="E64" s="118"/>
      <c r="F64" s="163"/>
      <c r="G64" s="168"/>
      <c r="I64" s="149" t="str">
        <f t="shared" si="1"/>
        <v/>
      </c>
    </row>
    <row r="65" spans="2:10" x14ac:dyDescent="0.2">
      <c r="D65" s="120" t="s">
        <v>34</v>
      </c>
      <c r="E65" s="121">
        <f>SUM(E58:E64)</f>
        <v>0</v>
      </c>
      <c r="F65" s="104" t="str">
        <f>IF(E65&lt;&gt;F34,"Warning: this does not equal the transfer value input above","")</f>
        <v/>
      </c>
      <c r="I65" s="133"/>
    </row>
    <row r="66" spans="2:10" ht="15.75" thickBot="1" x14ac:dyDescent="0.25">
      <c r="I66" s="133"/>
    </row>
    <row r="67" spans="2:10" ht="15.75" thickBot="1" x14ac:dyDescent="0.25">
      <c r="D67" s="110" t="s">
        <v>35</v>
      </c>
      <c r="E67" s="110"/>
      <c r="F67" s="177"/>
      <c r="G67" s="178"/>
      <c r="I67" s="133"/>
      <c r="J67" s="88"/>
    </row>
    <row r="68" spans="2:10" ht="15.75" thickBot="1" x14ac:dyDescent="0.25">
      <c r="I68" s="133"/>
    </row>
    <row r="69" spans="2:10" s="122" customFormat="1" ht="16.5" thickBot="1" x14ac:dyDescent="0.25">
      <c r="B69" s="148" t="str">
        <f>'Blank Cells'!E6</f>
        <v>Section Incomplete</v>
      </c>
      <c r="D69" s="183" t="s">
        <v>36</v>
      </c>
      <c r="E69" s="184"/>
      <c r="F69" s="184"/>
      <c r="G69" s="185"/>
      <c r="H69" s="87"/>
    </row>
    <row r="70" spans="2:10" ht="19.5" customHeight="1" x14ac:dyDescent="0.2">
      <c r="D70" s="245" t="s">
        <v>356</v>
      </c>
      <c r="E70" s="246"/>
      <c r="F70" s="246"/>
      <c r="G70" s="123"/>
      <c r="I70" s="150" t="s">
        <v>6</v>
      </c>
    </row>
    <row r="71" spans="2:10" ht="17.45" customHeight="1" x14ac:dyDescent="0.2">
      <c r="D71" s="175" t="s">
        <v>37</v>
      </c>
      <c r="E71" s="176"/>
      <c r="F71" s="176"/>
      <c r="G71" s="114"/>
      <c r="I71" s="130"/>
    </row>
    <row r="72" spans="2:10" x14ac:dyDescent="0.2">
      <c r="D72" s="175" t="s">
        <v>349</v>
      </c>
      <c r="E72" s="176"/>
      <c r="F72" s="176"/>
      <c r="G72" s="116"/>
      <c r="I72" s="130"/>
    </row>
    <row r="73" spans="2:10" x14ac:dyDescent="0.2">
      <c r="D73" s="175" t="s">
        <v>351</v>
      </c>
      <c r="E73" s="176"/>
      <c r="F73" s="176"/>
      <c r="G73" s="116"/>
      <c r="I73" s="130"/>
    </row>
    <row r="74" spans="2:10" x14ac:dyDescent="0.2">
      <c r="D74" s="175" t="s">
        <v>38</v>
      </c>
      <c r="E74" s="176"/>
      <c r="F74" s="176"/>
      <c r="G74" s="116"/>
      <c r="I74" s="130"/>
    </row>
    <row r="75" spans="2:10" x14ac:dyDescent="0.2">
      <c r="D75" s="175" t="str">
        <f>IF(F20="Y","","Death Benefits before retirement in DC Plan e.g.Return of fund only or 4 x Salary plus return of fund etc")</f>
        <v>Death Benefits before retirement in DC Plan e.g.Return of fund only or 4 x Salary plus return of fund etc</v>
      </c>
      <c r="E75" s="176"/>
      <c r="F75" s="176"/>
      <c r="G75" s="116"/>
      <c r="I75" s="130"/>
    </row>
    <row r="76" spans="2:10" x14ac:dyDescent="0.2">
      <c r="D76" s="175" t="str">
        <f>IF(F20="Y","","If insured death in service benefits provided under the DC Plan, will they continue under the PRSA?")</f>
        <v>If insured death in service benefits provided under the DC Plan, will they continue under the PRSA?</v>
      </c>
      <c r="E76" s="176"/>
      <c r="F76" s="176"/>
      <c r="G76" s="116"/>
      <c r="I76" s="130"/>
    </row>
    <row r="77" spans="2:10" x14ac:dyDescent="0.2">
      <c r="D77" s="175" t="str">
        <f>IF(F20="N","What Employer contributions were being paid in DC scheme? Include % salary or € annual","")</f>
        <v/>
      </c>
      <c r="E77" s="176"/>
      <c r="F77" s="176"/>
      <c r="G77" s="134"/>
      <c r="I77" s="130"/>
    </row>
    <row r="78" spans="2:10" x14ac:dyDescent="0.2">
      <c r="D78" s="175" t="str">
        <f>IF(OR(G77="",G77=0),"","Confirm if the Employer contributions are expected to continue in the PRSA, Confirm with Y/N or with value")</f>
        <v/>
      </c>
      <c r="E78" s="176"/>
      <c r="F78" s="176"/>
      <c r="G78" s="134"/>
      <c r="I78" s="130"/>
    </row>
    <row r="79" spans="2:10" x14ac:dyDescent="0.2">
      <c r="D79" s="175" t="str">
        <f>IF(F20="N","What Employee contributions were being paid in DC scheme, Include % salary or € annual","")</f>
        <v/>
      </c>
      <c r="E79" s="176"/>
      <c r="F79" s="176"/>
      <c r="G79" s="134"/>
      <c r="I79" s="130"/>
    </row>
    <row r="80" spans="2:10" x14ac:dyDescent="0.2">
      <c r="D80" s="175" t="str">
        <f>IF(OR(G79="",G79=0),"","Confirm if the Employee contributions are expected to continue in the PRSA")</f>
        <v/>
      </c>
      <c r="E80" s="176"/>
      <c r="F80" s="176"/>
      <c r="G80" s="134"/>
      <c r="I80" s="130"/>
    </row>
    <row r="81" spans="2:9" ht="15.75" thickBot="1" x14ac:dyDescent="0.25">
      <c r="D81" s="179" t="str">
        <f>IF(F20="N",IF(AND(D78="",D80=""),"","Confirm contribution charges applied in the DC Plan"),"")</f>
        <v/>
      </c>
      <c r="E81" s="180"/>
      <c r="F81" s="180"/>
      <c r="G81" s="158"/>
      <c r="I81" s="130"/>
    </row>
    <row r="82" spans="2:9" ht="15.75" thickBot="1" x14ac:dyDescent="0.25"/>
    <row r="83" spans="2:9" ht="16.5" thickBot="1" x14ac:dyDescent="0.25">
      <c r="B83" s="148" t="str">
        <f ca="1">'Blank Cells'!E7</f>
        <v>Section Incomplete</v>
      </c>
      <c r="D83" s="190" t="s">
        <v>39</v>
      </c>
      <c r="E83" s="191"/>
      <c r="F83" s="192"/>
      <c r="I83" s="87"/>
    </row>
    <row r="84" spans="2:9" ht="15.75" x14ac:dyDescent="0.2">
      <c r="D84" s="181" t="s">
        <v>40</v>
      </c>
      <c r="E84" s="182"/>
      <c r="F84" s="123"/>
      <c r="I84" s="94" t="str">
        <f>IF(F84="Y","If Y, then cert not required",IF(F84="N","",""))</f>
        <v/>
      </c>
    </row>
    <row r="85" spans="2:9" ht="15.75" customHeight="1" x14ac:dyDescent="0.2">
      <c r="D85" s="173" t="str">
        <f>IF(OR(F24="",F24="Y"),"Did the member work part time while a member of the scheme?","")</f>
        <v>Did the member work part time while a member of the scheme?</v>
      </c>
      <c r="E85" s="174"/>
      <c r="F85" s="116"/>
      <c r="I85" s="189"/>
    </row>
    <row r="86" spans="2:9" ht="15.75" customHeight="1" x14ac:dyDescent="0.2">
      <c r="D86" s="173" t="s">
        <v>41</v>
      </c>
      <c r="E86" s="174"/>
      <c r="F86" s="116"/>
      <c r="I86" s="189"/>
    </row>
    <row r="87" spans="2:9" ht="30.95" customHeight="1" x14ac:dyDescent="0.2">
      <c r="D87" s="243" t="s">
        <v>42</v>
      </c>
      <c r="E87" s="244"/>
      <c r="F87" s="116"/>
      <c r="I87" s="94"/>
    </row>
    <row r="88" spans="2:9" ht="18" customHeight="1" x14ac:dyDescent="0.2">
      <c r="D88" s="221" t="str">
        <f>IF(F87="Y","Please confirm the reduced PFT/SFT","")</f>
        <v/>
      </c>
      <c r="E88" s="222"/>
      <c r="F88" s="116"/>
      <c r="I88" s="94"/>
    </row>
    <row r="89" spans="2:9" x14ac:dyDescent="0.2">
      <c r="D89" s="173" t="s">
        <v>43</v>
      </c>
      <c r="E89" s="174"/>
      <c r="F89" s="116"/>
    </row>
    <row r="90" spans="2:9" ht="17.45" customHeight="1" x14ac:dyDescent="0.2">
      <c r="D90" s="173" t="str">
        <f>IF(F89="Y","Is the PAO a nil PAO? If no, please provide details.","")</f>
        <v/>
      </c>
      <c r="E90" s="174"/>
      <c r="F90" s="116"/>
      <c r="I90" s="94"/>
    </row>
    <row r="91" spans="2:9" ht="15.75" x14ac:dyDescent="0.2">
      <c r="D91" s="173" t="str">
        <f>IF(F20="N","Are the Trustees willing to approve a transfer","")</f>
        <v/>
      </c>
      <c r="E91" s="174"/>
      <c r="F91" s="116"/>
      <c r="I91" s="94" t="str">
        <f>IF(F91="Y","",IF(F91="N","Cert may not proceed - please contact LCP",""))</f>
        <v/>
      </c>
    </row>
    <row r="92" spans="2:9" ht="15.75" thickBot="1" x14ac:dyDescent="0.25">
      <c r="D92" s="235" t="str">
        <f ca="1">IFERROR(IF(F22&lt;(TODAY()-F15)/365.25,"Please confirm the Trustees are willing to grant a transfer as the member is passed NRA",""),"")</f>
        <v>Please confirm the Trustees are willing to grant a transfer as the member is passed NRA</v>
      </c>
      <c r="E92" s="236"/>
      <c r="F92" s="119"/>
    </row>
    <row r="93" spans="2:9" ht="15.75" thickBot="1" x14ac:dyDescent="0.25">
      <c r="I93" s="133"/>
    </row>
    <row r="94" spans="2:9" s="88" customFormat="1" ht="28.5" customHeight="1" thickBot="1" x14ac:dyDescent="0.25">
      <c r="D94" s="190" t="s">
        <v>44</v>
      </c>
      <c r="E94" s="191"/>
      <c r="F94" s="191"/>
      <c r="G94" s="192"/>
      <c r="H94" s="87"/>
      <c r="I94" s="133"/>
    </row>
    <row r="95" spans="2:9" s="88" customFormat="1" ht="17.45" customHeight="1" x14ac:dyDescent="0.2">
      <c r="D95" s="223"/>
      <c r="E95" s="224"/>
      <c r="F95" s="224"/>
      <c r="G95" s="225"/>
      <c r="H95" s="87"/>
      <c r="I95" s="133"/>
    </row>
    <row r="96" spans="2:9" s="88" customFormat="1" ht="35.1" customHeight="1" thickBot="1" x14ac:dyDescent="0.25">
      <c r="D96" s="226"/>
      <c r="E96" s="227"/>
      <c r="F96" s="227"/>
      <c r="G96" s="228"/>
      <c r="H96" s="87"/>
      <c r="I96" s="124"/>
    </row>
    <row r="97" spans="4:9" s="88" customFormat="1" ht="15.75" thickBot="1" x14ac:dyDescent="0.25">
      <c r="H97" s="87"/>
      <c r="I97" s="133"/>
    </row>
    <row r="98" spans="4:9" s="88" customFormat="1" ht="18" customHeight="1" thickBot="1" x14ac:dyDescent="0.25">
      <c r="D98" s="240" t="s">
        <v>45</v>
      </c>
      <c r="E98" s="241"/>
      <c r="F98" s="242"/>
      <c r="H98" s="87"/>
      <c r="I98" s="133"/>
    </row>
    <row r="99" spans="4:9" s="88" customFormat="1" ht="15.75" thickBot="1" x14ac:dyDescent="0.25">
      <c r="D99" s="237" t="s">
        <v>46</v>
      </c>
      <c r="E99" s="238"/>
      <c r="F99" s="239"/>
      <c r="H99" s="87"/>
      <c r="I99" s="133"/>
    </row>
    <row r="100" spans="4:9" s="88" customFormat="1" x14ac:dyDescent="0.2">
      <c r="D100" s="231" t="s">
        <v>47</v>
      </c>
      <c r="E100" s="232"/>
      <c r="F100" s="125"/>
      <c r="H100" s="87"/>
      <c r="I100" s="133"/>
    </row>
    <row r="101" spans="4:9" s="88" customFormat="1" x14ac:dyDescent="0.2">
      <c r="D101" s="233" t="s">
        <v>48</v>
      </c>
      <c r="E101" s="234"/>
      <c r="F101" s="125"/>
      <c r="H101" s="87"/>
      <c r="I101" s="133"/>
    </row>
    <row r="102" spans="4:9" x14ac:dyDescent="0.2">
      <c r="D102" s="233" t="s">
        <v>49</v>
      </c>
      <c r="E102" s="234"/>
      <c r="F102" s="125"/>
    </row>
    <row r="103" spans="4:9" ht="15.75" thickBot="1" x14ac:dyDescent="0.25">
      <c r="D103" s="229" t="str">
        <f ca="1">IFERROR("Completed this data collection template fully. "&amp;IF(D4=1,"","It seems you have "&amp;TEXT('Blank Cells'!E10,"0%")&amp;" complete."),"")</f>
        <v>Completed this data collection template fully. It seems you have 0% complete.</v>
      </c>
      <c r="E103" s="230"/>
      <c r="F103" s="126"/>
    </row>
    <row r="104" spans="4:9" ht="15.75" thickBot="1" x14ac:dyDescent="0.25">
      <c r="D104" s="88"/>
      <c r="E104" s="88"/>
      <c r="F104" s="88"/>
      <c r="G104" s="88"/>
      <c r="I104" s="133"/>
    </row>
    <row r="105" spans="4:9" ht="16.5" thickBot="1" x14ac:dyDescent="0.25">
      <c r="D105" s="127" t="s">
        <v>355</v>
      </c>
    </row>
    <row r="106" spans="4:9" x14ac:dyDescent="0.2">
      <c r="I106" s="133"/>
    </row>
  </sheetData>
  <sheetProtection algorithmName="SHA-512" hashValue="Wk+LknDChDgvQUWzqAxo0PwYUTiurCNUWMZ+AofSxuPZPU0NuzwHk7fGEeQAfLuYH0mae8YcelDtTbW3ryqIAg==" saltValue="fbA/B/BqAmkNd2iBcSDXTA==" spinCount="100000" sheet="1" objects="1" scenarios="1"/>
  <mergeCells count="72">
    <mergeCell ref="D41:F41"/>
    <mergeCell ref="D40:E40"/>
    <mergeCell ref="D80:F80"/>
    <mergeCell ref="D70:F70"/>
    <mergeCell ref="D75:F75"/>
    <mergeCell ref="D73:F73"/>
    <mergeCell ref="D72:F72"/>
    <mergeCell ref="D74:F74"/>
    <mergeCell ref="B52:B53"/>
    <mergeCell ref="D90:E90"/>
    <mergeCell ref="D94:G94"/>
    <mergeCell ref="D95:G96"/>
    <mergeCell ref="D103:E103"/>
    <mergeCell ref="D100:E100"/>
    <mergeCell ref="D101:E101"/>
    <mergeCell ref="D102:E102"/>
    <mergeCell ref="D92:E92"/>
    <mergeCell ref="D99:F99"/>
    <mergeCell ref="D98:F98"/>
    <mergeCell ref="D91:E91"/>
    <mergeCell ref="D87:E87"/>
    <mergeCell ref="D89:E89"/>
    <mergeCell ref="D88:E88"/>
    <mergeCell ref="D83:F83"/>
    <mergeCell ref="D4:H4"/>
    <mergeCell ref="B4:C4"/>
    <mergeCell ref="D7:F7"/>
    <mergeCell ref="D38:E39"/>
    <mergeCell ref="F38:F39"/>
    <mergeCell ref="D9:F9"/>
    <mergeCell ref="D10:F11"/>
    <mergeCell ref="D25:E25"/>
    <mergeCell ref="D23:E23"/>
    <mergeCell ref="D20:E20"/>
    <mergeCell ref="D21:E21"/>
    <mergeCell ref="D22:E22"/>
    <mergeCell ref="D37:E37"/>
    <mergeCell ref="D36:F36"/>
    <mergeCell ref="D13:F13"/>
    <mergeCell ref="D16:E16"/>
    <mergeCell ref="D14:E14"/>
    <mergeCell ref="D30:F30"/>
    <mergeCell ref="D31:E31"/>
    <mergeCell ref="D86:E86"/>
    <mergeCell ref="D15:E15"/>
    <mergeCell ref="D17:E17"/>
    <mergeCell ref="D18:E18"/>
    <mergeCell ref="D19:E19"/>
    <mergeCell ref="D33:E33"/>
    <mergeCell ref="D26:E26"/>
    <mergeCell ref="D28:F28"/>
    <mergeCell ref="D32:E32"/>
    <mergeCell ref="D52:G52"/>
    <mergeCell ref="D53:G53"/>
    <mergeCell ref="D24:E24"/>
    <mergeCell ref="D34:E34"/>
    <mergeCell ref="I34:I35"/>
    <mergeCell ref="D35:E35"/>
    <mergeCell ref="D85:E85"/>
    <mergeCell ref="D76:F76"/>
    <mergeCell ref="E55:F55"/>
    <mergeCell ref="D81:F81"/>
    <mergeCell ref="D84:E84"/>
    <mergeCell ref="D71:F71"/>
    <mergeCell ref="D69:G69"/>
    <mergeCell ref="D77:F77"/>
    <mergeCell ref="F67:G67"/>
    <mergeCell ref="I43:I44"/>
    <mergeCell ref="I38:I39"/>
    <mergeCell ref="I85:I86"/>
    <mergeCell ref="D78:F78"/>
    <mergeCell ref="D79:F79"/>
  </mergeCells>
  <conditionalFormatting sqref="B52">
    <cfRule type="cellIs" dxfId="12" priority="5" operator="equal">
      <formula>"Section Complete"</formula>
    </cfRule>
    <cfRule type="cellIs" dxfId="11" priority="6" operator="equal">
      <formula>"Section Incomplete"</formula>
    </cfRule>
  </conditionalFormatting>
  <conditionalFormatting sqref="D4">
    <cfRule type="dataBar" priority="17">
      <dataBar>
        <cfvo type="num" val="0"/>
        <cfvo type="num" val="1"/>
        <color rgb="FF63C384"/>
      </dataBar>
      <extLst>
        <ext xmlns:x14="http://schemas.microsoft.com/office/spreadsheetml/2009/9/main" uri="{B025F937-C7B1-47D3-B67F-A62EFF666E3E}">
          <x14:id>{4DF29BEA-AB4B-49FA-9289-F662B29522A0}</x14:id>
        </ext>
      </extLst>
    </cfRule>
  </conditionalFormatting>
  <conditionalFormatting sqref="F21">
    <cfRule type="expression" dxfId="10" priority="27">
      <formula>$F$20="N"</formula>
    </cfRule>
  </conditionalFormatting>
  <conditionalFormatting sqref="F24">
    <cfRule type="expression" dxfId="9" priority="1">
      <formula>$F$20="N"</formula>
    </cfRule>
  </conditionalFormatting>
  <conditionalFormatting sqref="F26">
    <cfRule type="expression" dxfId="8" priority="9">
      <formula>$D$26=""</formula>
    </cfRule>
  </conditionalFormatting>
  <conditionalFormatting sqref="F42">
    <cfRule type="expression" dxfId="6" priority="26">
      <formula>$F$42=0</formula>
    </cfRule>
  </conditionalFormatting>
  <conditionalFormatting sqref="G75:G81 F24 F84:F92">
    <cfRule type="expression" dxfId="4" priority="18">
      <formula>$D24=""</formula>
    </cfRule>
  </conditionalFormatting>
  <conditionalFormatting sqref="G1:I3 G5:G8 I5:I8 H5:H81 B9 G10:G12 I10:I12 B13 G14:G24 I14:I29 G27:G29 B30 I31:I34 G33:G34 I37:I38 G39:G40 I40 G42 I43:I50 I55:I56 G57:G66 G68 B69 G70:G81 I70:I81 G82:H82 B83 I84:I85 I87:I88 I90:I91 I96 I101 G104 I104 I106:I1048576 G107:H1048576">
    <cfRule type="cellIs" dxfId="3" priority="15" operator="equal">
      <formula>"Section Incomplete"</formula>
    </cfRule>
  </conditionalFormatting>
  <conditionalFormatting sqref="I43:I44">
    <cfRule type="cellIs" dxfId="2" priority="3" operator="notEqual">
      <formula>"ok"</formula>
    </cfRule>
  </conditionalFormatting>
  <conditionalFormatting sqref="I43:I50 G1:I3 G5:G8 I5:I8 H5:H81 B9 G10:G12 I10:I12 B13 G14:G24 I14:I29 G27:G29 B30 I31:I34 G33:G34 I37:I38 G39:G40 I40 G42 I55:I56 G57:G66 G68 B69 G70:G81 I70:I81 G82:H82 B83 I84:I85 I87:I88 I90:I91 I96 I101 G104 I104 I106:I1048576 G107:H1048576">
    <cfRule type="cellIs" dxfId="1" priority="14" operator="equal">
      <formula>"Section Complete"</formula>
    </cfRule>
  </conditionalFormatting>
  <dataValidations count="7">
    <dataValidation type="whole" allowBlank="1" showInputMessage="1" showErrorMessage="1" sqref="F22" xr:uid="{A397AB8F-9A6E-4A0C-9179-331E3C610783}">
      <formula1>50</formula1>
      <formula2>75</formula2>
    </dataValidation>
    <dataValidation type="list" allowBlank="1" showInputMessage="1" showErrorMessage="1" sqref="F17" xr:uid="{A6EDBE78-90A8-4033-88E9-6F2B8ABFA339}">
      <formula1>"Married, Single, Divorced, Separated, Widowed, Unknown"</formula1>
    </dataValidation>
    <dataValidation type="list" allowBlank="1" showInputMessage="1" showErrorMessage="1" sqref="F16" xr:uid="{9A02A94B-1D0A-45DC-935E-8AE5694215C6}">
      <formula1>"Male,Female"</formula1>
    </dataValidation>
    <dataValidation type="list" allowBlank="1" showInputMessage="1" showErrorMessage="1" sqref="F20 G70:G74 F91:F92 F89 G76 F24 F84:F87" xr:uid="{0FDF6AFC-F970-4105-8761-1BDC18A0CE11}">
      <formula1>"Y,N"</formula1>
    </dataValidation>
    <dataValidation type="list" allowBlank="1" showInputMessage="1" showErrorMessage="1" sqref="F103" xr:uid="{B2392425-E75E-469A-B5B6-D205672FB116}">
      <formula1>"Yes - this has been provided,No"</formula1>
    </dataValidation>
    <dataValidation type="list" allowBlank="1" showInputMessage="1" showErrorMessage="1" sqref="F25" xr:uid="{BC35FBFC-4568-456E-93F6-22AC6219D58F}">
      <formula1>"Member,Broker,Scheme Sponsor,Other"</formula1>
    </dataValidation>
    <dataValidation type="list" allowBlank="1" showInputMessage="1" showErrorMessage="1" sqref="F100:F102" xr:uid="{169B02CA-1800-4A64-B85E-A1739A38DC08}">
      <formula1>"Yes - this has been provided,No,To be Provided by LCP"</formula1>
    </dataValidation>
  </dataValidations>
  <pageMargins left="0.7" right="0.7" top="0.75" bottom="0.75" header="0.3" footer="0.3"/>
  <pageSetup paperSize="9" scale="33" orientation="portrait" r:id="rId1"/>
  <drawing r:id="rId2"/>
  <extLst>
    <ext xmlns:x14="http://schemas.microsoft.com/office/spreadsheetml/2009/9/main" uri="{78C0D931-6437-407d-A8EE-F0AAD7539E65}">
      <x14:conditionalFormattings>
        <x14:conditionalFormatting xmlns:xm="http://schemas.microsoft.com/office/excel/2006/main">
          <x14:cfRule type="dataBar" id="{4DF29BEA-AB4B-49FA-9289-F662B29522A0}">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D4</xm:sqref>
        </x14:conditionalFormatting>
        <x14:conditionalFormatting xmlns:xm="http://schemas.microsoft.com/office/excel/2006/main">
          <x14:cfRule type="expression" priority="13" id="{F9E328AA-2A13-491E-9DF7-25CE7A469D7B}">
            <xm:f>Providers!$E$20="N"</xm:f>
            <x14:dxf>
              <fill>
                <patternFill patternType="none">
                  <bgColor auto="1"/>
                </patternFill>
              </fill>
            </x14:dxf>
          </x14:cfRule>
          <xm:sqref>F33</xm:sqref>
        </x14:conditionalFormatting>
        <x14:conditionalFormatting xmlns:xm="http://schemas.microsoft.com/office/excel/2006/main">
          <x14:cfRule type="expression" priority="28" id="{24828542-DE61-49A7-B4D3-D2166E62781C}">
            <xm:f>Providers!$D$20&lt;&gt;Providers!$D$4</xm:f>
            <x14:dxf>
              <fill>
                <patternFill patternType="none">
                  <bgColor auto="1"/>
                </patternFill>
              </fill>
            </x14:dxf>
          </x14:cfRule>
          <xm:sqref>F43:F50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1F17EDE-14C4-4456-AEC5-882929DE6C2C}">
          <x14:formula1>
            <xm:f>Providers!$F$4:$F$139</xm:f>
          </x14:formula1>
          <xm:sqref>F32</xm:sqref>
        </x14:dataValidation>
        <x14:dataValidation type="list" allowBlank="1" showInputMessage="1" showErrorMessage="1" xr:uid="{4368DF36-F548-4CCE-88EF-47A8E60197FF}">
          <x14:formula1>
            <xm:f>'Aviva Comission'!$B$4:$B$11</xm:f>
          </x14:formula1>
          <xm:sqref>F33</xm:sqref>
        </x14:dataValidation>
        <x14:dataValidation type="list" allowBlank="1" showInputMessage="1" showErrorMessage="1" xr:uid="{F330A26A-5FFD-438B-8355-578312982AEE}">
          <x14:formula1>
            <xm:f>Providers!$B$4:$B$17</xm:f>
          </x14:formula1>
          <xm:sqref>F31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88A38-DA0E-42A8-AE26-A84879E43C8A}">
  <dimension ref="A1:E10"/>
  <sheetViews>
    <sheetView topLeftCell="A6" workbookViewId="0">
      <selection activeCell="E5" sqref="E5"/>
    </sheetView>
  </sheetViews>
  <sheetFormatPr defaultRowHeight="12.75" x14ac:dyDescent="0.2"/>
  <cols>
    <col min="1" max="1" width="11" bestFit="1" customWidth="1"/>
    <col min="2" max="2" width="8.85546875" customWidth="1"/>
  </cols>
  <sheetData>
    <row r="1" spans="1:5" x14ac:dyDescent="0.2">
      <c r="A1" t="s">
        <v>51</v>
      </c>
      <c r="B1" t="s">
        <v>52</v>
      </c>
      <c r="C1" t="s">
        <v>53</v>
      </c>
      <c r="D1" t="s">
        <v>54</v>
      </c>
    </row>
    <row r="2" spans="1:5" x14ac:dyDescent="0.2">
      <c r="A2" t="s">
        <v>55</v>
      </c>
      <c r="B2">
        <f>COUNTBLANK('PRSA Transfer Form'!D10:D10)</f>
        <v>1</v>
      </c>
      <c r="C2">
        <v>1</v>
      </c>
      <c r="D2" s="86">
        <f>MIN((C2-B2)/C2,1)</f>
        <v>0</v>
      </c>
      <c r="E2" s="86" t="str">
        <f>IF(D2&gt;=1,"Section Complete","Section Incomplete")</f>
        <v>Section Incomplete</v>
      </c>
    </row>
    <row r="3" spans="1:5" x14ac:dyDescent="0.2">
      <c r="A3" t="s">
        <v>56</v>
      </c>
      <c r="B3">
        <f>COUNTBLANK('PRSA Transfer Form'!F14:F26)-COUNTBLANK('PRSA Transfer Form'!D14:D26)</f>
        <v>11</v>
      </c>
      <c r="C3">
        <f>COUNTA('PRSA Transfer Form'!D14:D26)-COUNTBLANK('PRSA Transfer Form'!D14:D26)</f>
        <v>11</v>
      </c>
      <c r="D3" s="86">
        <f>MIN((C3-B3)/C3,1)</f>
        <v>0</v>
      </c>
      <c r="E3" s="86" t="str">
        <f t="shared" ref="E3:E7" si="0">IF(D3&gt;=1,"Section Complete","Section Incomplete")</f>
        <v>Section Incomplete</v>
      </c>
    </row>
    <row r="4" spans="1:5" ht="13.5" customHeight="1" x14ac:dyDescent="0.2">
      <c r="A4" t="s">
        <v>57</v>
      </c>
      <c r="B4">
        <f>COUNTBLANK('PRSA Transfer Form'!F31:F35)-COUNTBLANK('PRSA Transfer Form'!D31:D35)</f>
        <v>5</v>
      </c>
      <c r="C4">
        <f>COUNTA('PRSA Transfer Form'!D31:E35)-COUNTBLANK('PRSA Transfer Form'!D31:D36)</f>
        <v>5</v>
      </c>
      <c r="D4" s="86">
        <f>MIN((C4-B4)/C4,1)</f>
        <v>0</v>
      </c>
      <c r="E4" s="86" t="str">
        <f>IF(AND(D4&gt;=1,'PRSA Transfer Form'!I43="ok",COUNTA('PRSA Transfer Form'!E43:E50)=COUNTA('PRSA Transfer Form'!E43:E51)),"Section Complete","Section Incomplete")</f>
        <v>Section Incomplete</v>
      </c>
    </row>
    <row r="5" spans="1:5" ht="13.5" customHeight="1" x14ac:dyDescent="0.2">
      <c r="A5" t="s">
        <v>352</v>
      </c>
      <c r="E5" s="86" t="str">
        <f>IF(AND('PRSA Transfer Form'!I55="ok, scheme name completed",IF('PRSA Transfer Form'!F34=0,FALSE,TRUE),COUNTA('PRSA Transfer Form'!E58:E65)=COUNTA('PRSA Transfer Form'!D58:D65),SUM('PRSA Transfer Form'!E58:E64)='PRSA Transfer Form'!F34,COUNTA('PRSA Transfer Form'!E58:E65)=COUNTA('PRSA Transfer Form'!F58:F65)),"Section Complete","Section Incomplete")</f>
        <v>Section Incomplete</v>
      </c>
    </row>
    <row r="6" spans="1:5" x14ac:dyDescent="0.2">
      <c r="A6" t="s">
        <v>58</v>
      </c>
      <c r="B6">
        <f>COUNTBLANK('PRSA Transfer Form'!G70:G81)-COUNTBLANK('PRSA Transfer Form'!D70:D81)</f>
        <v>7</v>
      </c>
      <c r="C6">
        <f>COUNTA('PRSA Transfer Form'!D70:F81)-COUNTBLANK('PRSA Transfer Form'!D70:D81)</f>
        <v>7</v>
      </c>
      <c r="D6" s="86">
        <f>MIN((C6-B6)/C6,1)</f>
        <v>0</v>
      </c>
      <c r="E6" s="86" t="str">
        <f t="shared" si="0"/>
        <v>Section Incomplete</v>
      </c>
    </row>
    <row r="7" spans="1:5" x14ac:dyDescent="0.2">
      <c r="A7" t="s">
        <v>59</v>
      </c>
      <c r="B7">
        <f ca="1">COUNTBLANK('PRSA Transfer Form'!F84:F92)-COUNTBLANK('PRSA Transfer Form'!D84:D92)</f>
        <v>6</v>
      </c>
      <c r="C7">
        <f ca="1">COUNTA('PRSA Transfer Form'!D84:D92)-COUNTBLANK('PRSA Transfer Form'!D84:D92)</f>
        <v>6</v>
      </c>
      <c r="D7" s="86">
        <f ca="1">MIN((C7-B7)/C7,1)</f>
        <v>0</v>
      </c>
      <c r="E7" s="86" t="str">
        <f t="shared" ca="1" si="0"/>
        <v>Section Incomplete</v>
      </c>
    </row>
    <row r="9" spans="1:5" x14ac:dyDescent="0.2">
      <c r="D9" s="135">
        <f ca="1">AVERAGE(D2:D7)</f>
        <v>0</v>
      </c>
      <c r="E9" s="147">
        <f ca="1">COUNTIF(E2:E7,"Section Incomplete")</f>
        <v>6</v>
      </c>
    </row>
    <row r="10" spans="1:5" x14ac:dyDescent="0.2">
      <c r="D10" s="86"/>
      <c r="E10" s="135">
        <f ca="1">1-E9/COUNTA(A2:A7)</f>
        <v>0</v>
      </c>
    </row>
  </sheetData>
  <sheetProtection selectLockedCells="1" selectUnlockedCells="1"/>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27880-5ADA-4304-8EDC-5730AB07DE7D}">
  <dimension ref="A2:Y194"/>
  <sheetViews>
    <sheetView topLeftCell="E138" workbookViewId="0">
      <selection activeCell="E143" sqref="E143"/>
    </sheetView>
  </sheetViews>
  <sheetFormatPr defaultRowHeight="15" x14ac:dyDescent="0.25"/>
  <cols>
    <col min="1" max="1" width="8.85546875" style="1"/>
    <col min="2" max="2" width="48.42578125" customWidth="1"/>
    <col min="3" max="4" width="8.85546875" style="3"/>
    <col min="5" max="5" width="45.42578125" customWidth="1"/>
    <col min="6" max="6" width="26.85546875" customWidth="1"/>
    <col min="7" max="7" width="77.42578125" customWidth="1"/>
    <col min="8" max="8" width="21.5703125" customWidth="1"/>
    <col min="9" max="10" width="11.5703125" bestFit="1" customWidth="1"/>
    <col min="11" max="11" width="13.42578125" bestFit="1" customWidth="1"/>
    <col min="12" max="12" width="15.42578125" customWidth="1"/>
    <col min="13" max="13" width="13.5703125" customWidth="1"/>
    <col min="14" max="14" width="13.42578125" customWidth="1"/>
    <col min="15" max="15" width="12.140625" style="60" bestFit="1" customWidth="1"/>
    <col min="16" max="16" width="12.5703125" customWidth="1"/>
    <col min="17" max="17" width="12.42578125" customWidth="1"/>
    <col min="18" max="18" width="12.5703125" customWidth="1"/>
    <col min="19" max="19" width="10.42578125" bestFit="1" customWidth="1"/>
    <col min="20" max="20" width="14.140625" customWidth="1"/>
    <col min="21" max="22" width="13.5703125" customWidth="1"/>
  </cols>
  <sheetData>
    <row r="2" spans="1:15" x14ac:dyDescent="0.25">
      <c r="E2" s="247" t="s">
        <v>60</v>
      </c>
      <c r="F2" s="247"/>
      <c r="G2" s="247"/>
      <c r="H2" s="247"/>
      <c r="I2" s="247"/>
      <c r="M2" s="2" t="s">
        <v>61</v>
      </c>
      <c r="N2" s="2" t="s">
        <v>62</v>
      </c>
      <c r="O2" s="4" t="s">
        <v>63</v>
      </c>
    </row>
    <row r="3" spans="1:15" s="1" customFormat="1" x14ac:dyDescent="0.25">
      <c r="A3" s="1" t="s">
        <v>64</v>
      </c>
      <c r="B3" s="1" t="s">
        <v>65</v>
      </c>
      <c r="C3" s="5" t="s">
        <v>66</v>
      </c>
      <c r="D3" s="5" t="s">
        <v>67</v>
      </c>
      <c r="E3" s="2" t="s">
        <v>68</v>
      </c>
      <c r="F3" s="2" t="s">
        <v>69</v>
      </c>
      <c r="G3" s="2" t="s">
        <v>70</v>
      </c>
      <c r="H3" s="2" t="s">
        <v>71</v>
      </c>
      <c r="I3" s="2" t="s">
        <v>59</v>
      </c>
      <c r="K3"/>
      <c r="L3"/>
      <c r="M3" s="2"/>
      <c r="N3" s="2"/>
      <c r="O3" s="4"/>
    </row>
    <row r="4" spans="1:15" x14ac:dyDescent="0.25">
      <c r="A4" s="1" t="s">
        <v>72</v>
      </c>
      <c r="B4" t="s">
        <v>73</v>
      </c>
      <c r="C4" s="6">
        <v>8.9999999999999993E-3</v>
      </c>
      <c r="D4" s="6">
        <v>6.4999999999999997E-3</v>
      </c>
      <c r="E4" s="7" t="str">
        <f>IF(D4=0,C4,"From "&amp;TEXT(ROUND(C4*100,2),"#0.#0")&amp;"% to "&amp;TEXT(ROUND((D4+C4)*100,2),"#0.#0")&amp;"% depending on funds chosen. ")</f>
        <v xml:space="preserve">From 0.90% to 1.55% depending on funds chosen. </v>
      </c>
      <c r="F4" s="7" t="str">
        <f>"This product has a "&amp;O4*100&amp;"% contribution charge. "</f>
        <v xml:space="preserve">This product has a 0% contribution charge. </v>
      </c>
      <c r="G4" s="8" t="str">
        <f>" The AMC includes standard trail of "&amp;M4*100&amp;"% of fund value."</f>
        <v xml:space="preserve"> The AMC includes standard trail of 0% of fund value.</v>
      </c>
      <c r="H4" s="9" t="str">
        <f t="shared" ref="H4:H9" si="0">IF(N4=0,"","A rebate of "&amp;ROUND(N4*100,2)&amp;"% is applied in addition to the AMC indicated, on funds over €100,000. ")</f>
        <v/>
      </c>
      <c r="I4" s="9"/>
      <c r="M4" s="10">
        <f>C4-$C$4</f>
        <v>0</v>
      </c>
      <c r="N4" s="11">
        <v>0</v>
      </c>
      <c r="O4" s="12">
        <v>0</v>
      </c>
    </row>
    <row r="5" spans="1:15" x14ac:dyDescent="0.25">
      <c r="B5" t="s">
        <v>74</v>
      </c>
      <c r="C5" s="6">
        <v>1.15E-2</v>
      </c>
      <c r="D5" s="6">
        <v>6.4999999999999997E-3</v>
      </c>
      <c r="E5" s="7" t="str">
        <f t="shared" ref="E5:E68" si="1">IF(D5=0,C5,"From "&amp;TEXT(ROUND(C5*100,2),"#0.#0")&amp;"% to "&amp;TEXT(ROUND((D5+C5)*100,2),"#0.#0")&amp;"% depending on funds chosen. ")</f>
        <v xml:space="preserve">From 1.15% to 1.80% depending on funds chosen. </v>
      </c>
      <c r="F5" s="7" t="str">
        <f t="shared" ref="F5:F19" si="2">"This product has a "&amp;O5*100&amp;"% contribution charge. "</f>
        <v xml:space="preserve">This product has a 0% contribution charge. </v>
      </c>
      <c r="G5" s="8" t="str">
        <f t="shared" ref="G5:G19" si="3">" The AMC includes standard trail of "&amp;M5*100&amp;"% of fund value."</f>
        <v xml:space="preserve"> The AMC includes standard trail of 0.25% of fund value.</v>
      </c>
      <c r="H5" s="9" t="str">
        <f t="shared" si="0"/>
        <v/>
      </c>
      <c r="I5" s="9"/>
      <c r="M5" s="10">
        <f t="shared" ref="M5:M16" si="4">C5-$C$4</f>
        <v>2.5000000000000005E-3</v>
      </c>
      <c r="N5" s="11">
        <v>0</v>
      </c>
      <c r="O5" s="12">
        <v>0</v>
      </c>
    </row>
    <row r="6" spans="1:15" x14ac:dyDescent="0.25">
      <c r="B6" t="s">
        <v>75</v>
      </c>
      <c r="C6" s="6">
        <v>1.4E-2</v>
      </c>
      <c r="D6" s="6">
        <f t="shared" ref="D6:D19" si="5">D5</f>
        <v>6.4999999999999997E-3</v>
      </c>
      <c r="E6" s="7" t="str">
        <f t="shared" si="1"/>
        <v xml:space="preserve">From 1.40% to 2.05% depending on funds chosen. </v>
      </c>
      <c r="F6" s="7" t="str">
        <f t="shared" si="2"/>
        <v xml:space="preserve">This product has a 0% contribution charge. </v>
      </c>
      <c r="G6" s="8" t="str">
        <f t="shared" si="3"/>
        <v xml:space="preserve"> The AMC includes standard trail of 0.5% of fund value.</v>
      </c>
      <c r="H6" s="9" t="str">
        <f t="shared" si="0"/>
        <v/>
      </c>
      <c r="I6" s="9"/>
      <c r="M6" s="10">
        <f t="shared" si="4"/>
        <v>5.000000000000001E-3</v>
      </c>
      <c r="N6" s="11">
        <v>0</v>
      </c>
      <c r="O6" s="12">
        <v>0</v>
      </c>
    </row>
    <row r="7" spans="1:15" x14ac:dyDescent="0.25">
      <c r="B7" t="s">
        <v>76</v>
      </c>
      <c r="C7" s="6">
        <v>8.9999999999999993E-3</v>
      </c>
      <c r="D7" s="6">
        <f t="shared" si="5"/>
        <v>6.4999999999999997E-3</v>
      </c>
      <c r="E7" s="7" t="str">
        <f t="shared" si="1"/>
        <v xml:space="preserve">From 0.90% to 1.55% depending on funds chosen. </v>
      </c>
      <c r="F7" s="7" t="str">
        <f t="shared" si="2"/>
        <v xml:space="preserve">This product has a 2.5% contribution charge. </v>
      </c>
      <c r="G7" s="8" t="str">
        <f t="shared" si="3"/>
        <v xml:space="preserve"> The AMC includes standard trail of 0% of fund value.</v>
      </c>
      <c r="H7" s="9" t="str">
        <f t="shared" si="0"/>
        <v/>
      </c>
      <c r="I7" s="9"/>
      <c r="M7" s="10">
        <f t="shared" si="4"/>
        <v>0</v>
      </c>
      <c r="N7" s="11">
        <v>0</v>
      </c>
      <c r="O7" s="12">
        <v>2.5000000000000001E-2</v>
      </c>
    </row>
    <row r="8" spans="1:15" x14ac:dyDescent="0.25">
      <c r="B8" t="s">
        <v>77</v>
      </c>
      <c r="C8" s="6">
        <v>1.15E-2</v>
      </c>
      <c r="D8" s="6">
        <f t="shared" si="5"/>
        <v>6.4999999999999997E-3</v>
      </c>
      <c r="E8" s="7" t="str">
        <f t="shared" si="1"/>
        <v xml:space="preserve">From 1.15% to 1.80% depending on funds chosen. </v>
      </c>
      <c r="F8" s="7" t="str">
        <f t="shared" si="2"/>
        <v xml:space="preserve">This product has a 2.5% contribution charge. </v>
      </c>
      <c r="G8" s="8" t="str">
        <f t="shared" si="3"/>
        <v xml:space="preserve"> The AMC includes standard trail of 0.25% of fund value.</v>
      </c>
      <c r="H8" s="9" t="str">
        <f t="shared" si="0"/>
        <v/>
      </c>
      <c r="I8" s="9"/>
      <c r="M8" s="10">
        <f t="shared" si="4"/>
        <v>2.5000000000000005E-3</v>
      </c>
      <c r="N8" s="11">
        <v>0</v>
      </c>
      <c r="O8" s="12">
        <v>2.5000000000000001E-2</v>
      </c>
    </row>
    <row r="9" spans="1:15" x14ac:dyDescent="0.25">
      <c r="B9" t="s">
        <v>78</v>
      </c>
      <c r="C9" s="6">
        <v>1.4E-2</v>
      </c>
      <c r="D9" s="6">
        <f t="shared" si="5"/>
        <v>6.4999999999999997E-3</v>
      </c>
      <c r="E9" s="7" t="str">
        <f t="shared" si="1"/>
        <v xml:space="preserve">From 1.40% to 2.05% depending on funds chosen. </v>
      </c>
      <c r="F9" s="7" t="str">
        <f t="shared" si="2"/>
        <v xml:space="preserve">This product has a 2.5% contribution charge. </v>
      </c>
      <c r="G9" s="8" t="str">
        <f t="shared" si="3"/>
        <v xml:space="preserve"> The AMC includes standard trail of 0.5% of fund value.</v>
      </c>
      <c r="H9" s="9" t="str">
        <f t="shared" si="0"/>
        <v/>
      </c>
      <c r="I9" s="9"/>
      <c r="M9" s="10">
        <f t="shared" si="4"/>
        <v>5.000000000000001E-3</v>
      </c>
      <c r="N9" s="11">
        <v>0</v>
      </c>
      <c r="O9" s="12">
        <v>2.5000000000000001E-2</v>
      </c>
    </row>
    <row r="10" spans="1:15" x14ac:dyDescent="0.25">
      <c r="B10" t="s">
        <v>79</v>
      </c>
      <c r="C10" s="6">
        <v>8.9999999999999993E-3</v>
      </c>
      <c r="D10" s="6">
        <f t="shared" si="5"/>
        <v>6.4999999999999997E-3</v>
      </c>
      <c r="E10" s="7" t="str">
        <f t="shared" si="1"/>
        <v xml:space="preserve">From 0.90% to 1.55% depending on funds chosen. </v>
      </c>
      <c r="F10" s="7" t="str">
        <f t="shared" si="2"/>
        <v xml:space="preserve">This product has a 5% contribution charge. </v>
      </c>
      <c r="G10" s="8" t="str">
        <f t="shared" si="3"/>
        <v xml:space="preserve"> The AMC includes standard trail of 0% of fund value.</v>
      </c>
      <c r="H10" s="9" t="str">
        <f t="shared" ref="H10:H19" si="6">IF(N10=0,""," A rebate of "&amp;ROUND(N10*100,2)&amp;"% is applied in addition to the AMC indicated, on funds over €100,000. ")</f>
        <v xml:space="preserve"> A rebate of 0.25% is applied in addition to the AMC indicated, on funds over €100,000. </v>
      </c>
      <c r="I10" s="9"/>
      <c r="M10" s="10">
        <f t="shared" si="4"/>
        <v>0</v>
      </c>
      <c r="N10" s="13">
        <v>2.5000000000000001E-3</v>
      </c>
      <c r="O10" s="12">
        <v>0.05</v>
      </c>
    </row>
    <row r="11" spans="1:15" x14ac:dyDescent="0.25">
      <c r="B11" t="s">
        <v>80</v>
      </c>
      <c r="C11" s="6">
        <v>1.15E-2</v>
      </c>
      <c r="D11" s="6">
        <f t="shared" si="5"/>
        <v>6.4999999999999997E-3</v>
      </c>
      <c r="E11" s="7" t="str">
        <f t="shared" si="1"/>
        <v xml:space="preserve">From 1.15% to 1.80% depending on funds chosen. </v>
      </c>
      <c r="F11" s="7" t="str">
        <f t="shared" si="2"/>
        <v xml:space="preserve">This product has a 5% contribution charge. </v>
      </c>
      <c r="G11" s="8" t="str">
        <f t="shared" si="3"/>
        <v xml:space="preserve"> The AMC includes standard trail of 0.25% of fund value.</v>
      </c>
      <c r="H11" s="9" t="str">
        <f t="shared" si="6"/>
        <v xml:space="preserve"> A rebate of 0.25% is applied in addition to the AMC indicated, on funds over €100,000. </v>
      </c>
      <c r="I11" s="9"/>
      <c r="M11" s="10">
        <f t="shared" si="4"/>
        <v>2.5000000000000005E-3</v>
      </c>
      <c r="N11" s="13">
        <v>2.5000000000000001E-3</v>
      </c>
      <c r="O11" s="12">
        <v>0.05</v>
      </c>
    </row>
    <row r="12" spans="1:15" x14ac:dyDescent="0.25">
      <c r="B12" t="s">
        <v>81</v>
      </c>
      <c r="C12" s="6">
        <v>1.4E-2</v>
      </c>
      <c r="D12" s="6">
        <f t="shared" si="5"/>
        <v>6.4999999999999997E-3</v>
      </c>
      <c r="E12" s="7" t="str">
        <f t="shared" si="1"/>
        <v xml:space="preserve">From 1.40% to 2.05% depending on funds chosen. </v>
      </c>
      <c r="F12" s="7" t="str">
        <f t="shared" si="2"/>
        <v xml:space="preserve">This product has a 5% contribution charge. </v>
      </c>
      <c r="G12" s="8" t="str">
        <f t="shared" si="3"/>
        <v xml:space="preserve"> The AMC includes standard trail of 0.5% of fund value.</v>
      </c>
      <c r="H12" s="9" t="str">
        <f t="shared" si="6"/>
        <v xml:space="preserve"> A rebate of 0.25% is applied in addition to the AMC indicated, on funds over €100,000. </v>
      </c>
      <c r="I12" s="9"/>
      <c r="M12" s="10">
        <f t="shared" si="4"/>
        <v>5.000000000000001E-3</v>
      </c>
      <c r="N12" s="13">
        <v>2.5000000000000001E-3</v>
      </c>
      <c r="O12" s="12">
        <v>0.05</v>
      </c>
    </row>
    <row r="13" spans="1:15" x14ac:dyDescent="0.25">
      <c r="B13" t="s">
        <v>82</v>
      </c>
      <c r="C13" s="6">
        <v>1.15E-2</v>
      </c>
      <c r="D13" s="6">
        <f t="shared" si="5"/>
        <v>6.4999999999999997E-3</v>
      </c>
      <c r="E13" s="7" t="str">
        <f t="shared" si="1"/>
        <v xml:space="preserve">From 1.15% to 1.80% depending on funds chosen. </v>
      </c>
      <c r="F13" s="7" t="str">
        <f t="shared" si="2"/>
        <v xml:space="preserve">This product has a 0% contribution charge. </v>
      </c>
      <c r="G13" s="8" t="str">
        <f t="shared" si="3"/>
        <v xml:space="preserve"> The AMC includes standard trail of 0.25% of fund value.</v>
      </c>
      <c r="H13" s="9" t="str">
        <f t="shared" si="6"/>
        <v xml:space="preserve"> A rebate of 0.25% is applied in addition to the AMC indicated, on funds over €100,000. </v>
      </c>
      <c r="I13" s="9"/>
      <c r="M13" s="10">
        <f t="shared" si="4"/>
        <v>2.5000000000000005E-3</v>
      </c>
      <c r="N13" s="13">
        <v>2.5000000000000001E-3</v>
      </c>
      <c r="O13" s="12">
        <v>0</v>
      </c>
    </row>
    <row r="14" spans="1:15" x14ac:dyDescent="0.25">
      <c r="B14" t="s">
        <v>83</v>
      </c>
      <c r="C14" s="6">
        <v>1.4E-2</v>
      </c>
      <c r="D14" s="6">
        <f t="shared" si="5"/>
        <v>6.4999999999999997E-3</v>
      </c>
      <c r="E14" s="7" t="str">
        <f t="shared" si="1"/>
        <v xml:space="preserve">From 1.40% to 2.05% depending on funds chosen. </v>
      </c>
      <c r="F14" s="7" t="str">
        <f t="shared" si="2"/>
        <v xml:space="preserve">This product has a 0% contribution charge. </v>
      </c>
      <c r="G14" s="8" t="str">
        <f t="shared" si="3"/>
        <v xml:space="preserve"> The AMC includes standard trail of 0.5% of fund value.</v>
      </c>
      <c r="H14" s="9" t="str">
        <f t="shared" si="6"/>
        <v xml:space="preserve"> A rebate of 0.25% is applied in addition to the AMC indicated, on funds over €100,000. </v>
      </c>
      <c r="I14" s="9"/>
      <c r="M14" s="10">
        <f t="shared" si="4"/>
        <v>5.000000000000001E-3</v>
      </c>
      <c r="N14" s="13">
        <v>2.5000000000000001E-3</v>
      </c>
      <c r="O14" s="12">
        <v>0</v>
      </c>
    </row>
    <row r="15" spans="1:15" x14ac:dyDescent="0.25">
      <c r="B15" t="s">
        <v>84</v>
      </c>
      <c r="C15" s="6">
        <v>1.4E-2</v>
      </c>
      <c r="D15" s="6">
        <f t="shared" si="5"/>
        <v>6.4999999999999997E-3</v>
      </c>
      <c r="E15" s="7" t="str">
        <f t="shared" si="1"/>
        <v xml:space="preserve">From 1.40% to 2.05% depending on funds chosen. </v>
      </c>
      <c r="F15" s="7" t="str">
        <f t="shared" si="2"/>
        <v xml:space="preserve">This product has a 0% contribution charge. </v>
      </c>
      <c r="G15" s="8" t="str">
        <f t="shared" si="3"/>
        <v xml:space="preserve"> The AMC includes standard trail of 0.5% of fund value.</v>
      </c>
      <c r="H15" s="9" t="str">
        <f t="shared" si="6"/>
        <v xml:space="preserve"> A rebate of 0.45% is applied in addition to the AMC indicated, on funds over €100,000. </v>
      </c>
      <c r="I15" s="9"/>
      <c r="M15" s="10">
        <f t="shared" si="4"/>
        <v>5.000000000000001E-3</v>
      </c>
      <c r="N15" s="13">
        <v>4.4999999999999997E-3</v>
      </c>
      <c r="O15" s="12">
        <v>0</v>
      </c>
    </row>
    <row r="16" spans="1:15" x14ac:dyDescent="0.25">
      <c r="B16" t="s">
        <v>85</v>
      </c>
      <c r="C16" s="6">
        <v>1.4E-2</v>
      </c>
      <c r="D16" s="6">
        <f t="shared" si="5"/>
        <v>6.4999999999999997E-3</v>
      </c>
      <c r="E16" s="7" t="str">
        <f t="shared" si="1"/>
        <v xml:space="preserve">From 1.40% to 2.05% depending on funds chosen. </v>
      </c>
      <c r="F16" s="7" t="str">
        <f t="shared" si="2"/>
        <v xml:space="preserve">This product has a 0% contribution charge. </v>
      </c>
      <c r="G16" s="8" t="str">
        <f t="shared" si="3"/>
        <v xml:space="preserve"> The AMC includes standard trail of 0.5% of fund value.</v>
      </c>
      <c r="H16" s="9" t="str">
        <f t="shared" si="6"/>
        <v xml:space="preserve"> A rebate of 0.5% is applied in addition to the AMC indicated, on funds over €100,000. </v>
      </c>
      <c r="I16" s="9"/>
      <c r="M16" s="10">
        <f t="shared" si="4"/>
        <v>5.000000000000001E-3</v>
      </c>
      <c r="N16" s="13">
        <v>5.0000000000000001E-3</v>
      </c>
      <c r="O16" s="12">
        <v>0</v>
      </c>
    </row>
    <row r="17" spans="1:15" x14ac:dyDescent="0.25">
      <c r="B17" t="s">
        <v>86</v>
      </c>
      <c r="C17" s="6">
        <v>8.9999999999999993E-3</v>
      </c>
      <c r="D17" s="6">
        <f t="shared" si="5"/>
        <v>6.4999999999999997E-3</v>
      </c>
      <c r="E17" s="7" t="str">
        <f t="shared" si="1"/>
        <v xml:space="preserve">From 0.90% to 1.55% depending on funds chosen. </v>
      </c>
      <c r="F17" s="7" t="str">
        <f t="shared" si="2"/>
        <v xml:space="preserve">This product has a 0% contribution charge. </v>
      </c>
      <c r="G17" s="8" t="str">
        <f t="shared" si="3"/>
        <v xml:space="preserve"> The AMC includes standard trail of 0.75% of fund value.</v>
      </c>
      <c r="H17" s="9" t="str">
        <f t="shared" si="6"/>
        <v xml:space="preserve"> A rebate of 0.5% is applied in addition to the AMC indicated, on funds over €100,000. </v>
      </c>
      <c r="I17" s="9"/>
      <c r="M17" s="10">
        <v>7.4999999999999997E-3</v>
      </c>
      <c r="N17" s="13">
        <v>5.0000000000000001E-3</v>
      </c>
      <c r="O17" s="12">
        <v>0</v>
      </c>
    </row>
    <row r="18" spans="1:15" x14ac:dyDescent="0.25">
      <c r="B18" t="s">
        <v>87</v>
      </c>
      <c r="C18" s="6">
        <v>8.9999999999999993E-3</v>
      </c>
      <c r="D18" s="6">
        <f t="shared" si="5"/>
        <v>6.4999999999999997E-3</v>
      </c>
      <c r="E18" s="7" t="str">
        <f t="shared" si="1"/>
        <v xml:space="preserve">From 0.90% to 1.55% depending on funds chosen. </v>
      </c>
      <c r="F18" s="7" t="str">
        <f t="shared" si="2"/>
        <v xml:space="preserve">This product has a 0% contribution charge. </v>
      </c>
      <c r="G18" s="8" t="str">
        <f t="shared" si="3"/>
        <v xml:space="preserve"> The AMC includes standard trail of 0% of fund value.</v>
      </c>
      <c r="H18" s="9" t="str">
        <f t="shared" si="6"/>
        <v xml:space="preserve"> A rebate of 0.5% is applied in addition to the AMC indicated, on funds over €100,000. </v>
      </c>
      <c r="I18" s="9"/>
      <c r="M18" s="10">
        <v>0</v>
      </c>
      <c r="N18" s="13">
        <v>5.0000000000000001E-3</v>
      </c>
      <c r="O18" s="12">
        <v>0</v>
      </c>
    </row>
    <row r="19" spans="1:15" s="15" customFormat="1" x14ac:dyDescent="0.25">
      <c r="A19" s="14"/>
      <c r="B19" s="15" t="s">
        <v>88</v>
      </c>
      <c r="C19" s="16">
        <v>8.9999999999999993E-3</v>
      </c>
      <c r="D19" s="16">
        <f t="shared" si="5"/>
        <v>6.4999999999999997E-3</v>
      </c>
      <c r="E19" s="7" t="str">
        <f t="shared" si="1"/>
        <v xml:space="preserve">From 0.90% to 1.55% depending on funds chosen. </v>
      </c>
      <c r="F19" s="7" t="str">
        <f t="shared" si="2"/>
        <v xml:space="preserve">This product has a 0% contribution charge. </v>
      </c>
      <c r="G19" s="8" t="str">
        <f t="shared" si="3"/>
        <v xml:space="preserve"> The AMC includes standard trail of 0.25% of fund value.</v>
      </c>
      <c r="H19" s="9" t="str">
        <f t="shared" si="6"/>
        <v xml:space="preserve"> A rebate of 0.45% is applied in addition to the AMC indicated, on funds over €100,000. </v>
      </c>
      <c r="I19" s="9"/>
      <c r="J19"/>
      <c r="K19"/>
      <c r="L19"/>
      <c r="M19" s="10">
        <v>2.5000000000000001E-3</v>
      </c>
      <c r="N19" s="13">
        <v>4.4999999999999997E-3</v>
      </c>
      <c r="O19" s="12">
        <v>0</v>
      </c>
    </row>
    <row r="20" spans="1:15" x14ac:dyDescent="0.25">
      <c r="C20"/>
      <c r="D20"/>
      <c r="O20"/>
    </row>
    <row r="21" spans="1:15" x14ac:dyDescent="0.25">
      <c r="A21" s="1" t="s">
        <v>89</v>
      </c>
      <c r="B21" t="s">
        <v>90</v>
      </c>
      <c r="C21" s="3">
        <v>7.4999999999999997E-3</v>
      </c>
      <c r="D21" s="3">
        <v>3.5000000000000001E-3</v>
      </c>
      <c r="E21" s="7" t="str">
        <f t="shared" si="1"/>
        <v xml:space="preserve">From 0.75% to 1.10% depending on funds chosen. </v>
      </c>
      <c r="F21" s="7" t="str">
        <f>"This product has a "&amp;O21*100&amp;"% contribution charge. "</f>
        <v xml:space="preserve">This product has a 0% contribution charge. </v>
      </c>
      <c r="G21" s="8" t="str">
        <f t="shared" ref="G21:G39" si="7">" This includes standard trail of "&amp;M21*100&amp;"% of fund value or any extra trail agreed with provider."</f>
        <v xml:space="preserve"> This includes standard trail of 0% of fund value or any extra trail agreed with provider.</v>
      </c>
      <c r="H21" s="9"/>
      <c r="I21" s="9"/>
      <c r="M21" s="13">
        <v>0</v>
      </c>
      <c r="N21" s="9"/>
      <c r="O21" s="12">
        <v>0</v>
      </c>
    </row>
    <row r="22" spans="1:15" x14ac:dyDescent="0.25">
      <c r="B22" t="s">
        <v>91</v>
      </c>
      <c r="C22" s="3">
        <v>0.01</v>
      </c>
      <c r="D22" s="3">
        <v>3.5000000000000001E-3</v>
      </c>
      <c r="E22" s="7" t="str">
        <f t="shared" si="1"/>
        <v xml:space="preserve">From 1.0% to 1.35% depending on funds chosen. </v>
      </c>
      <c r="F22" s="7" t="str">
        <f t="shared" ref="F22:F31" si="8">"This product has a "&amp;O22*100&amp;"% contribution charge. "</f>
        <v xml:space="preserve">This product has a 0% contribution charge. </v>
      </c>
      <c r="G22" s="8" t="str">
        <f t="shared" si="7"/>
        <v xml:space="preserve"> This includes standard trail of 0% of fund value or any extra trail agreed with provider.</v>
      </c>
      <c r="H22" s="9"/>
      <c r="I22" s="9"/>
      <c r="M22" s="13">
        <v>0</v>
      </c>
      <c r="N22" s="9"/>
      <c r="O22" s="12">
        <v>0</v>
      </c>
    </row>
    <row r="23" spans="1:15" x14ac:dyDescent="0.25">
      <c r="B23" t="s">
        <v>92</v>
      </c>
      <c r="C23" s="3">
        <v>0.01</v>
      </c>
      <c r="D23" s="3">
        <v>3.5000000000000001E-3</v>
      </c>
      <c r="E23" s="7" t="str">
        <f t="shared" si="1"/>
        <v xml:space="preserve">From 1.0% to 1.35% depending on funds chosen. </v>
      </c>
      <c r="F23" s="7" t="str">
        <f t="shared" si="8"/>
        <v xml:space="preserve">This product has a 5% contribution charge. </v>
      </c>
      <c r="G23" s="8" t="str">
        <f t="shared" si="7"/>
        <v xml:space="preserve"> This includes standard trail of 0% of fund value or any extra trail agreed with provider.</v>
      </c>
      <c r="H23" s="9"/>
      <c r="I23" s="9"/>
      <c r="M23" s="13">
        <v>0</v>
      </c>
      <c r="N23" s="9"/>
      <c r="O23" s="12">
        <v>0.05</v>
      </c>
    </row>
    <row r="24" spans="1:15" x14ac:dyDescent="0.25">
      <c r="B24" t="s">
        <v>93</v>
      </c>
      <c r="C24" s="3">
        <v>0.01</v>
      </c>
      <c r="D24" s="3">
        <v>3.5000000000000001E-3</v>
      </c>
      <c r="E24" s="7" t="str">
        <f t="shared" si="1"/>
        <v xml:space="preserve">From 1.0% to 1.35% depending on funds chosen. </v>
      </c>
      <c r="F24" s="7" t="str">
        <f t="shared" si="8"/>
        <v xml:space="preserve">This product has a 4% contribution charge. </v>
      </c>
      <c r="G24" s="8" t="str">
        <f t="shared" si="7"/>
        <v xml:space="preserve"> This includes standard trail of 0% of fund value or any extra trail agreed with provider.</v>
      </c>
      <c r="H24" s="9"/>
      <c r="I24" s="9"/>
      <c r="M24" s="13">
        <v>0</v>
      </c>
      <c r="N24" s="9"/>
      <c r="O24" s="12">
        <v>0.04</v>
      </c>
    </row>
    <row r="25" spans="1:15" x14ac:dyDescent="0.25">
      <c r="B25" t="s">
        <v>94</v>
      </c>
      <c r="C25" s="3">
        <v>0.01</v>
      </c>
      <c r="D25" s="3">
        <v>3.5000000000000001E-3</v>
      </c>
      <c r="E25" s="7" t="str">
        <f t="shared" si="1"/>
        <v xml:space="preserve">From 1.0% to 1.35% depending on funds chosen. </v>
      </c>
      <c r="F25" s="7" t="str">
        <f t="shared" si="8"/>
        <v xml:space="preserve">This product has a 3% contribution charge. </v>
      </c>
      <c r="G25" s="8" t="str">
        <f t="shared" si="7"/>
        <v xml:space="preserve"> This includes standard trail of 0% of fund value or any extra trail agreed with provider.</v>
      </c>
      <c r="H25" s="9"/>
      <c r="I25" s="9"/>
      <c r="M25" s="13">
        <v>0</v>
      </c>
      <c r="N25" s="9"/>
      <c r="O25" s="12">
        <v>0.03</v>
      </c>
    </row>
    <row r="26" spans="1:15" x14ac:dyDescent="0.25">
      <c r="B26" t="s">
        <v>95</v>
      </c>
      <c r="C26" s="3">
        <v>0.01</v>
      </c>
      <c r="D26" s="3">
        <v>3.5000000000000001E-3</v>
      </c>
      <c r="E26" s="7" t="str">
        <f t="shared" si="1"/>
        <v xml:space="preserve">From 1.0% to 1.35% depending on funds chosen. </v>
      </c>
      <c r="F26" s="7" t="str">
        <f t="shared" si="8"/>
        <v xml:space="preserve">This product has a 2% contribution charge. </v>
      </c>
      <c r="G26" s="8" t="str">
        <f t="shared" si="7"/>
        <v xml:space="preserve"> This includes standard trail of 0% of fund value or any extra trail agreed with provider.</v>
      </c>
      <c r="H26" s="9"/>
      <c r="I26" s="9"/>
      <c r="M26" s="13">
        <v>0</v>
      </c>
      <c r="N26" s="9"/>
      <c r="O26" s="12">
        <v>0.02</v>
      </c>
    </row>
    <row r="27" spans="1:15" x14ac:dyDescent="0.25">
      <c r="B27" t="s">
        <v>96</v>
      </c>
      <c r="C27" s="3">
        <v>0.01</v>
      </c>
      <c r="D27" s="3">
        <v>3.5000000000000001E-3</v>
      </c>
      <c r="E27" s="7" t="str">
        <f t="shared" si="1"/>
        <v xml:space="preserve">From 1.0% to 1.35% depending on funds chosen. </v>
      </c>
      <c r="F27" s="7" t="str">
        <f t="shared" si="8"/>
        <v xml:space="preserve">This product has a 1% contribution charge. </v>
      </c>
      <c r="G27" s="8" t="str">
        <f t="shared" si="7"/>
        <v xml:space="preserve"> This includes standard trail of 0% of fund value or any extra trail agreed with provider.</v>
      </c>
      <c r="H27" s="9"/>
      <c r="I27" s="9"/>
      <c r="M27" s="13">
        <v>0</v>
      </c>
      <c r="N27" s="9"/>
      <c r="O27" s="12">
        <v>0.01</v>
      </c>
    </row>
    <row r="28" spans="1:15" x14ac:dyDescent="0.25">
      <c r="B28" t="s">
        <v>97</v>
      </c>
      <c r="C28" s="3">
        <v>1.2500000000000001E-2</v>
      </c>
      <c r="D28" s="3">
        <v>3.5000000000000001E-3</v>
      </c>
      <c r="E28" s="7" t="str">
        <f t="shared" si="1"/>
        <v xml:space="preserve">From 1.25% to 1.60% depending on funds chosen. </v>
      </c>
      <c r="F28" s="7" t="str">
        <f t="shared" si="8"/>
        <v xml:space="preserve">This product has a 2% contribution charge. </v>
      </c>
      <c r="G28" s="8" t="str">
        <f t="shared" si="7"/>
        <v xml:space="preserve"> This includes standard trail of 0.25% of fund value or any extra trail agreed with provider.</v>
      </c>
      <c r="H28" s="9"/>
      <c r="I28" s="9"/>
      <c r="M28" s="13">
        <v>2.5000000000000001E-3</v>
      </c>
      <c r="N28" s="9"/>
      <c r="O28" s="12">
        <v>0.02</v>
      </c>
    </row>
    <row r="29" spans="1:15" x14ac:dyDescent="0.25">
      <c r="B29" t="s">
        <v>98</v>
      </c>
      <c r="C29" s="3">
        <v>1.4999999999999999E-2</v>
      </c>
      <c r="D29" s="3">
        <v>3.5000000000000001E-3</v>
      </c>
      <c r="E29" s="7" t="str">
        <f t="shared" si="1"/>
        <v xml:space="preserve">From 1.50% to 1.85% depending on funds chosen. </v>
      </c>
      <c r="F29" s="7" t="str">
        <f t="shared" si="8"/>
        <v xml:space="preserve">This product has a 2% contribution charge. </v>
      </c>
      <c r="G29" s="8" t="str">
        <f t="shared" si="7"/>
        <v xml:space="preserve"> This includes standard trail of 0.5% of fund value or any extra trail agreed with provider.</v>
      </c>
      <c r="H29" s="9"/>
      <c r="I29" s="9"/>
      <c r="M29" s="13">
        <v>5.0000000000000001E-3</v>
      </c>
      <c r="N29" s="9"/>
      <c r="O29" s="12">
        <v>0.02</v>
      </c>
    </row>
    <row r="30" spans="1:15" x14ac:dyDescent="0.25">
      <c r="B30" t="s">
        <v>99</v>
      </c>
      <c r="C30" s="3">
        <v>1.2500000000000001E-2</v>
      </c>
      <c r="D30" s="3">
        <v>3.5000000000000001E-3</v>
      </c>
      <c r="E30" s="7" t="str">
        <f t="shared" si="1"/>
        <v xml:space="preserve">From 1.25% to 1.60% depending on funds chosen. </v>
      </c>
      <c r="F30" s="7" t="str">
        <f t="shared" si="8"/>
        <v xml:space="preserve">This product has a 0% contribution charge. </v>
      </c>
      <c r="G30" s="8" t="str">
        <f t="shared" si="7"/>
        <v xml:space="preserve"> This includes standard trail of 0.25% of fund value or any extra trail agreed with provider.</v>
      </c>
      <c r="H30" s="9"/>
      <c r="I30" s="9"/>
      <c r="M30" s="13">
        <v>2.5000000000000001E-3</v>
      </c>
      <c r="N30" s="9"/>
      <c r="O30" s="12">
        <v>0</v>
      </c>
    </row>
    <row r="31" spans="1:15" x14ac:dyDescent="0.25">
      <c r="B31" t="s">
        <v>100</v>
      </c>
      <c r="C31" s="17">
        <v>1.4999999999999999E-2</v>
      </c>
      <c r="D31" s="17">
        <v>3.5000000000000001E-3</v>
      </c>
      <c r="E31" s="7" t="str">
        <f t="shared" si="1"/>
        <v xml:space="preserve">From 1.50% to 1.85% depending on funds chosen. </v>
      </c>
      <c r="F31" s="7" t="str">
        <f t="shared" si="8"/>
        <v xml:space="preserve">This product has a 0% contribution charge. </v>
      </c>
      <c r="G31" s="8" t="str">
        <f t="shared" si="7"/>
        <v xml:space="preserve"> This includes standard trail of 0.5% of fund value or any extra trail agreed with provider.</v>
      </c>
      <c r="H31" s="9"/>
      <c r="I31" s="9"/>
      <c r="M31" s="13">
        <v>5.0000000000000001E-3</v>
      </c>
      <c r="N31" s="9"/>
      <c r="O31" s="12">
        <v>0</v>
      </c>
    </row>
    <row r="32" spans="1:15" x14ac:dyDescent="0.25">
      <c r="B32" t="s">
        <v>101</v>
      </c>
      <c r="C32" s="17">
        <v>0.01</v>
      </c>
      <c r="D32" s="17">
        <v>0</v>
      </c>
      <c r="E32" s="7">
        <f t="shared" si="1"/>
        <v>0.01</v>
      </c>
      <c r="F32" s="18" t="s">
        <v>102</v>
      </c>
      <c r="G32" s="8" t="str">
        <f t="shared" si="7"/>
        <v xml:space="preserve"> This includes standard trail of 0% of fund value or any extra trail agreed with provider.</v>
      </c>
      <c r="H32" s="9"/>
      <c r="I32" s="9"/>
      <c r="M32" s="13">
        <v>0</v>
      </c>
      <c r="N32" s="9"/>
      <c r="O32" s="12">
        <v>0</v>
      </c>
    </row>
    <row r="33" spans="1:25" x14ac:dyDescent="0.25">
      <c r="B33" t="s">
        <v>103</v>
      </c>
      <c r="C33" s="3">
        <v>0.01</v>
      </c>
      <c r="D33" s="3">
        <v>0</v>
      </c>
      <c r="E33" s="7">
        <f t="shared" si="1"/>
        <v>0.01</v>
      </c>
      <c r="F33" s="7" t="str">
        <f>"This product has a "&amp;O33*100&amp;"% contribution charge. "</f>
        <v xml:space="preserve">This product has a 0% contribution charge. </v>
      </c>
      <c r="G33" s="8" t="str">
        <f t="shared" si="7"/>
        <v xml:space="preserve"> This includes standard trail of 0% of fund value or any extra trail agreed with provider.</v>
      </c>
      <c r="H33" s="9"/>
      <c r="I33" s="9"/>
      <c r="M33" s="13">
        <v>0</v>
      </c>
      <c r="N33" s="9"/>
      <c r="O33" s="12">
        <v>0</v>
      </c>
    </row>
    <row r="34" spans="1:25" x14ac:dyDescent="0.25">
      <c r="B34" t="s">
        <v>104</v>
      </c>
      <c r="C34" s="3">
        <v>0.01</v>
      </c>
      <c r="D34" s="3">
        <v>0</v>
      </c>
      <c r="E34" s="7">
        <f t="shared" si="1"/>
        <v>0.01</v>
      </c>
      <c r="F34" s="7" t="str">
        <f t="shared" ref="F34:F38" si="9">"This product has a "&amp;O34*100&amp;"% contribution charge. "</f>
        <v xml:space="preserve">This product has a 2% contribution charge. </v>
      </c>
      <c r="G34" s="8" t="str">
        <f t="shared" si="7"/>
        <v xml:space="preserve"> This includes standard trail of 0% of fund value or any extra trail agreed with provider.</v>
      </c>
      <c r="H34" s="9"/>
      <c r="I34" s="9"/>
      <c r="M34" s="13">
        <v>0</v>
      </c>
      <c r="N34" s="9"/>
      <c r="O34" s="12">
        <v>0.02</v>
      </c>
    </row>
    <row r="35" spans="1:25" x14ac:dyDescent="0.25">
      <c r="B35" t="s">
        <v>105</v>
      </c>
      <c r="C35" s="3">
        <v>0.01</v>
      </c>
      <c r="D35" s="3">
        <v>0</v>
      </c>
      <c r="E35" s="7">
        <f t="shared" si="1"/>
        <v>0.01</v>
      </c>
      <c r="F35" s="7" t="str">
        <f t="shared" si="9"/>
        <v xml:space="preserve">This product has a 5% contribution charge. </v>
      </c>
      <c r="G35" s="8" t="str">
        <f t="shared" si="7"/>
        <v xml:space="preserve"> This includes standard trail of 0% of fund value or any extra trail agreed with provider.</v>
      </c>
      <c r="H35" s="9"/>
      <c r="I35" s="9"/>
      <c r="M35" s="13">
        <v>0</v>
      </c>
      <c r="N35" s="9"/>
      <c r="O35" s="12">
        <v>0.05</v>
      </c>
    </row>
    <row r="36" spans="1:25" x14ac:dyDescent="0.25">
      <c r="B36" t="s">
        <v>106</v>
      </c>
      <c r="C36" s="3">
        <v>0.01</v>
      </c>
      <c r="D36" s="3">
        <v>0</v>
      </c>
      <c r="E36" s="7">
        <f t="shared" si="1"/>
        <v>0.01</v>
      </c>
      <c r="F36" s="7" t="str">
        <f t="shared" si="9"/>
        <v xml:space="preserve">This product has a 4% contribution charge. </v>
      </c>
      <c r="G36" s="8" t="str">
        <f t="shared" si="7"/>
        <v xml:space="preserve"> This includes standard trail of 0% of fund value or any extra trail agreed with provider.</v>
      </c>
      <c r="H36" s="9"/>
      <c r="I36" s="9"/>
      <c r="M36" s="13">
        <v>0</v>
      </c>
      <c r="N36" s="9"/>
      <c r="O36" s="12">
        <v>0.04</v>
      </c>
    </row>
    <row r="37" spans="1:25" x14ac:dyDescent="0.25">
      <c r="B37" t="s">
        <v>107</v>
      </c>
      <c r="C37" s="3">
        <v>0.01</v>
      </c>
      <c r="D37" s="3">
        <v>0</v>
      </c>
      <c r="E37" s="7">
        <f t="shared" si="1"/>
        <v>0.01</v>
      </c>
      <c r="F37" s="7" t="str">
        <f t="shared" si="9"/>
        <v xml:space="preserve">This product has a 3% contribution charge. </v>
      </c>
      <c r="G37" s="8" t="str">
        <f t="shared" si="7"/>
        <v xml:space="preserve"> This includes standard trail of 0% of fund value or any extra trail agreed with provider.</v>
      </c>
      <c r="H37" s="9"/>
      <c r="I37" s="9"/>
      <c r="M37" s="13">
        <v>0</v>
      </c>
      <c r="N37" s="9"/>
      <c r="O37" s="12">
        <v>0.03</v>
      </c>
    </row>
    <row r="38" spans="1:25" x14ac:dyDescent="0.25">
      <c r="B38" t="s">
        <v>108</v>
      </c>
      <c r="C38" s="3">
        <v>0.01</v>
      </c>
      <c r="D38" s="3">
        <v>0</v>
      </c>
      <c r="E38" s="7">
        <f t="shared" si="1"/>
        <v>0.01</v>
      </c>
      <c r="F38" s="7" t="str">
        <f t="shared" si="9"/>
        <v xml:space="preserve">This product has a 1% contribution charge. </v>
      </c>
      <c r="G38" s="8" t="str">
        <f t="shared" si="7"/>
        <v xml:space="preserve"> This includes standard trail of 0% of fund value or any extra trail agreed with provider.</v>
      </c>
      <c r="H38" s="9"/>
      <c r="I38" s="9"/>
      <c r="M38" s="13">
        <v>0</v>
      </c>
      <c r="N38" s="9"/>
      <c r="O38" s="12">
        <v>0.01</v>
      </c>
    </row>
    <row r="39" spans="1:25" s="15" customFormat="1" x14ac:dyDescent="0.25">
      <c r="A39" s="14"/>
      <c r="B39" s="15" t="s">
        <v>109</v>
      </c>
      <c r="C39" s="19">
        <v>0.01</v>
      </c>
      <c r="D39" s="19">
        <v>3.5000000000000001E-3</v>
      </c>
      <c r="E39" s="7" t="str">
        <f t="shared" si="1"/>
        <v xml:space="preserve">From 1.0% to 1.35% depending on funds chosen. </v>
      </c>
      <c r="F39" s="18" t="s">
        <v>102</v>
      </c>
      <c r="G39" s="8" t="str">
        <f t="shared" si="7"/>
        <v xml:space="preserve"> This includes standard trail of 0% of fund value or any extra trail agreed with provider.</v>
      </c>
      <c r="H39" s="9"/>
      <c r="I39" s="9"/>
      <c r="J39"/>
      <c r="K39"/>
      <c r="L39"/>
      <c r="M39" s="13">
        <v>0</v>
      </c>
      <c r="N39" s="9"/>
      <c r="O39" s="12"/>
      <c r="P39"/>
      <c r="Q39"/>
      <c r="R39"/>
      <c r="S39"/>
    </row>
    <row r="40" spans="1:25" x14ac:dyDescent="0.25">
      <c r="B40" s="1"/>
      <c r="C40" s="1"/>
      <c r="D40" s="1"/>
      <c r="E40" s="1"/>
      <c r="F40" s="1"/>
      <c r="G40" s="1"/>
      <c r="H40" s="1"/>
      <c r="I40" s="1"/>
      <c r="J40" s="1"/>
      <c r="K40" s="1"/>
      <c r="L40" s="1"/>
      <c r="M40" s="1"/>
      <c r="N40" s="1"/>
      <c r="O40" s="1"/>
      <c r="P40" s="1"/>
      <c r="Q40" s="1"/>
      <c r="R40" s="1"/>
      <c r="S40" s="1"/>
      <c r="T40" s="1"/>
      <c r="U40" s="1"/>
      <c r="V40" s="1"/>
      <c r="W40" s="1"/>
      <c r="X40" s="1"/>
      <c r="Y40" s="1"/>
    </row>
    <row r="41" spans="1:25" x14ac:dyDescent="0.25">
      <c r="A41" s="1" t="s">
        <v>110</v>
      </c>
      <c r="B41" t="s">
        <v>111</v>
      </c>
      <c r="C41" s="3">
        <v>0.01</v>
      </c>
      <c r="D41" s="3">
        <v>0</v>
      </c>
      <c r="E41" s="7">
        <f t="shared" si="1"/>
        <v>0.01</v>
      </c>
      <c r="F41" s="20" t="s">
        <v>112</v>
      </c>
      <c r="G41" s="9"/>
      <c r="H41" s="9" t="s">
        <v>113</v>
      </c>
      <c r="I41" s="9"/>
      <c r="M41" s="9"/>
      <c r="N41" s="9"/>
      <c r="O41" s="12">
        <v>0.05</v>
      </c>
    </row>
    <row r="42" spans="1:25" x14ac:dyDescent="0.25">
      <c r="B42" t="s">
        <v>114</v>
      </c>
      <c r="C42" s="3">
        <v>0.01</v>
      </c>
      <c r="D42" s="3">
        <v>0</v>
      </c>
      <c r="E42" s="7">
        <f t="shared" si="1"/>
        <v>0.01</v>
      </c>
      <c r="F42" s="20" t="s">
        <v>115</v>
      </c>
      <c r="G42" s="9"/>
      <c r="H42" s="9"/>
      <c r="I42" s="9"/>
      <c r="M42" s="9"/>
      <c r="N42" s="9"/>
      <c r="O42" s="12">
        <v>0.01</v>
      </c>
    </row>
    <row r="43" spans="1:25" x14ac:dyDescent="0.25">
      <c r="B43" t="s">
        <v>116</v>
      </c>
      <c r="C43" s="3">
        <v>0.01</v>
      </c>
      <c r="D43" s="3">
        <v>0</v>
      </c>
      <c r="E43" s="7">
        <f t="shared" si="1"/>
        <v>0.01</v>
      </c>
      <c r="F43" s="20" t="s">
        <v>117</v>
      </c>
      <c r="G43" s="9"/>
      <c r="H43" s="9"/>
      <c r="I43" s="9"/>
      <c r="M43" s="9"/>
      <c r="N43" s="9"/>
      <c r="O43" s="12">
        <v>0</v>
      </c>
    </row>
    <row r="44" spans="1:25" x14ac:dyDescent="0.25">
      <c r="B44" t="s">
        <v>118</v>
      </c>
      <c r="C44" s="3">
        <v>0.01</v>
      </c>
      <c r="D44" s="3">
        <v>0</v>
      </c>
      <c r="E44" s="7">
        <f t="shared" si="1"/>
        <v>0.01</v>
      </c>
      <c r="F44" s="20" t="s">
        <v>112</v>
      </c>
      <c r="G44" s="9"/>
      <c r="H44" s="9"/>
      <c r="I44" s="9"/>
      <c r="M44" s="9"/>
      <c r="N44" s="9"/>
      <c r="O44" s="12">
        <v>0.05</v>
      </c>
    </row>
    <row r="45" spans="1:25" x14ac:dyDescent="0.25">
      <c r="B45" t="s">
        <v>119</v>
      </c>
      <c r="C45" s="3">
        <v>0.01</v>
      </c>
      <c r="D45" s="3">
        <v>0</v>
      </c>
      <c r="E45" s="7">
        <f t="shared" si="1"/>
        <v>0.01</v>
      </c>
      <c r="F45" s="20" t="s">
        <v>120</v>
      </c>
      <c r="G45" s="9"/>
      <c r="H45" s="9"/>
      <c r="I45" s="9"/>
      <c r="M45" s="9"/>
      <c r="N45" s="9"/>
      <c r="O45" s="12">
        <v>0.04</v>
      </c>
    </row>
    <row r="46" spans="1:25" x14ac:dyDescent="0.25">
      <c r="B46" t="s">
        <v>121</v>
      </c>
      <c r="C46" s="3">
        <v>0.01</v>
      </c>
      <c r="D46" s="3">
        <v>0</v>
      </c>
      <c r="E46" s="7">
        <f t="shared" si="1"/>
        <v>0.01</v>
      </c>
      <c r="F46" s="20" t="s">
        <v>122</v>
      </c>
      <c r="G46" s="9"/>
      <c r="H46" s="9"/>
      <c r="I46" s="9"/>
      <c r="M46" s="9"/>
      <c r="N46" s="9"/>
      <c r="O46" s="12"/>
    </row>
    <row r="47" spans="1:25" x14ac:dyDescent="0.25">
      <c r="B47" t="s">
        <v>123</v>
      </c>
      <c r="C47" s="3">
        <v>0.01</v>
      </c>
      <c r="D47" s="3">
        <v>0</v>
      </c>
      <c r="E47" s="7">
        <f t="shared" si="1"/>
        <v>0.01</v>
      </c>
      <c r="F47" s="20" t="s">
        <v>124</v>
      </c>
      <c r="G47" s="9"/>
      <c r="H47" s="9"/>
      <c r="I47" s="9"/>
      <c r="M47" s="9"/>
      <c r="N47" s="9"/>
      <c r="O47" s="12"/>
    </row>
    <row r="48" spans="1:25" x14ac:dyDescent="0.25">
      <c r="B48" t="s">
        <v>125</v>
      </c>
      <c r="C48" s="3">
        <v>0.01</v>
      </c>
      <c r="D48" s="3">
        <v>0</v>
      </c>
      <c r="E48" s="7">
        <f t="shared" si="1"/>
        <v>0.01</v>
      </c>
      <c r="F48" s="20" t="s">
        <v>126</v>
      </c>
      <c r="G48" s="9"/>
      <c r="H48" s="9"/>
      <c r="I48" s="9"/>
      <c r="M48" s="9"/>
      <c r="N48" s="9"/>
      <c r="O48" s="12"/>
    </row>
    <row r="49" spans="2:15" x14ac:dyDescent="0.25">
      <c r="B49" t="s">
        <v>127</v>
      </c>
      <c r="C49" s="3">
        <v>0.01</v>
      </c>
      <c r="D49" s="3">
        <v>0</v>
      </c>
      <c r="E49" s="7">
        <f t="shared" si="1"/>
        <v>0.01</v>
      </c>
      <c r="F49" s="20" t="s">
        <v>128</v>
      </c>
      <c r="G49" s="9"/>
      <c r="H49" s="9"/>
      <c r="I49" s="9"/>
      <c r="M49" s="9"/>
      <c r="N49" s="9"/>
      <c r="O49" s="12"/>
    </row>
    <row r="50" spans="2:15" x14ac:dyDescent="0.25">
      <c r="B50" t="s">
        <v>129</v>
      </c>
      <c r="C50" s="3">
        <v>0.01</v>
      </c>
      <c r="D50" s="3">
        <v>0</v>
      </c>
      <c r="E50" s="7">
        <f t="shared" si="1"/>
        <v>0.01</v>
      </c>
      <c r="F50" s="20" t="s">
        <v>130</v>
      </c>
      <c r="G50" s="9"/>
      <c r="H50" s="9"/>
      <c r="I50" s="9"/>
      <c r="M50" s="9"/>
      <c r="N50" s="9"/>
      <c r="O50" s="12">
        <v>0</v>
      </c>
    </row>
    <row r="51" spans="2:15" x14ac:dyDescent="0.25">
      <c r="B51" t="s">
        <v>131</v>
      </c>
      <c r="C51" s="3">
        <v>7.4999999999999997E-3</v>
      </c>
      <c r="D51" s="3">
        <v>0</v>
      </c>
      <c r="E51" s="7">
        <f t="shared" si="1"/>
        <v>7.4999999999999997E-3</v>
      </c>
      <c r="F51" s="20" t="s">
        <v>130</v>
      </c>
      <c r="G51" s="9"/>
      <c r="H51" s="9"/>
      <c r="I51" s="9"/>
      <c r="M51" s="9"/>
      <c r="N51" s="9"/>
      <c r="O51" s="12">
        <v>0</v>
      </c>
    </row>
    <row r="52" spans="2:15" x14ac:dyDescent="0.25">
      <c r="B52" t="s">
        <v>132</v>
      </c>
      <c r="C52" s="3">
        <v>7.4999999999999997E-3</v>
      </c>
      <c r="D52" s="3">
        <v>0</v>
      </c>
      <c r="E52" s="7">
        <f t="shared" si="1"/>
        <v>7.4999999999999997E-3</v>
      </c>
      <c r="F52" s="20" t="s">
        <v>133</v>
      </c>
      <c r="G52" s="9"/>
      <c r="H52" s="9"/>
      <c r="I52" s="9"/>
      <c r="M52" s="9"/>
      <c r="N52" s="9"/>
      <c r="O52" s="12">
        <v>0.01</v>
      </c>
    </row>
    <row r="53" spans="2:15" x14ac:dyDescent="0.25">
      <c r="B53" t="s">
        <v>134</v>
      </c>
      <c r="C53" s="3">
        <v>0.01</v>
      </c>
      <c r="D53" s="3">
        <v>0</v>
      </c>
      <c r="E53" s="7">
        <f t="shared" si="1"/>
        <v>0.01</v>
      </c>
      <c r="F53" s="20" t="s">
        <v>130</v>
      </c>
      <c r="G53" s="9"/>
      <c r="H53" s="9"/>
      <c r="I53" s="9"/>
      <c r="M53" s="9"/>
      <c r="N53" s="9"/>
      <c r="O53" s="12">
        <v>0</v>
      </c>
    </row>
    <row r="54" spans="2:15" x14ac:dyDescent="0.25">
      <c r="B54" t="s">
        <v>135</v>
      </c>
      <c r="C54" s="3">
        <v>0.01</v>
      </c>
      <c r="D54" s="3">
        <v>0</v>
      </c>
      <c r="E54" s="7">
        <f t="shared" si="1"/>
        <v>0.01</v>
      </c>
      <c r="F54" s="20" t="s">
        <v>133</v>
      </c>
      <c r="G54" s="9"/>
      <c r="H54" s="9"/>
      <c r="I54" s="9"/>
      <c r="M54" s="9"/>
      <c r="N54" s="9"/>
      <c r="O54" s="12">
        <v>0.01</v>
      </c>
    </row>
    <row r="55" spans="2:15" x14ac:dyDescent="0.25">
      <c r="B55" t="s">
        <v>136</v>
      </c>
      <c r="C55" s="3">
        <v>0.01</v>
      </c>
      <c r="D55" s="3">
        <v>0</v>
      </c>
      <c r="E55" s="7">
        <f t="shared" si="1"/>
        <v>0.01</v>
      </c>
      <c r="F55" s="20" t="s">
        <v>137</v>
      </c>
      <c r="G55" s="9"/>
      <c r="H55" s="9"/>
      <c r="I55" s="9"/>
      <c r="M55" s="9"/>
      <c r="N55" s="9"/>
      <c r="O55" s="12">
        <v>0.02</v>
      </c>
    </row>
    <row r="56" spans="2:15" x14ac:dyDescent="0.25">
      <c r="B56" t="s">
        <v>138</v>
      </c>
      <c r="C56" s="3">
        <v>0.01</v>
      </c>
      <c r="D56" s="3">
        <v>0</v>
      </c>
      <c r="E56" s="7">
        <f t="shared" si="1"/>
        <v>0.01</v>
      </c>
      <c r="F56" s="20" t="s">
        <v>139</v>
      </c>
      <c r="G56" s="9"/>
      <c r="H56" s="9"/>
      <c r="I56" s="9"/>
      <c r="M56" s="9"/>
      <c r="N56" s="9"/>
      <c r="O56" s="12">
        <v>0.03</v>
      </c>
    </row>
    <row r="57" spans="2:15" x14ac:dyDescent="0.25">
      <c r="B57" t="s">
        <v>140</v>
      </c>
      <c r="C57" s="3">
        <v>5.0000000000000001E-3</v>
      </c>
      <c r="D57" s="3">
        <v>0</v>
      </c>
      <c r="E57" s="7">
        <f t="shared" si="1"/>
        <v>5.0000000000000001E-3</v>
      </c>
      <c r="F57" s="20" t="s">
        <v>130</v>
      </c>
      <c r="G57" s="9"/>
      <c r="H57" s="9"/>
      <c r="I57" s="9"/>
      <c r="M57" s="9"/>
      <c r="N57" s="9"/>
      <c r="O57" s="12">
        <v>0</v>
      </c>
    </row>
    <row r="58" spans="2:15" x14ac:dyDescent="0.25">
      <c r="B58" t="s">
        <v>141</v>
      </c>
      <c r="C58" s="3">
        <v>0.01</v>
      </c>
      <c r="D58" s="3">
        <v>0</v>
      </c>
      <c r="E58" s="7">
        <f t="shared" si="1"/>
        <v>0.01</v>
      </c>
      <c r="F58" s="20" t="s">
        <v>124</v>
      </c>
      <c r="G58" s="9"/>
      <c r="H58" s="9"/>
      <c r="I58" s="9"/>
      <c r="M58" s="9"/>
      <c r="N58" s="9"/>
      <c r="O58" s="12"/>
    </row>
    <row r="59" spans="2:15" x14ac:dyDescent="0.25">
      <c r="B59" t="s">
        <v>142</v>
      </c>
      <c r="C59" s="3">
        <v>0.01</v>
      </c>
      <c r="D59" s="3">
        <v>0</v>
      </c>
      <c r="E59" s="7">
        <f t="shared" si="1"/>
        <v>0.01</v>
      </c>
      <c r="F59" s="20" t="s">
        <v>130</v>
      </c>
      <c r="G59" s="9"/>
      <c r="H59" s="9"/>
      <c r="I59" s="9"/>
      <c r="M59" s="9"/>
      <c r="N59" s="9"/>
      <c r="O59" s="12">
        <v>0</v>
      </c>
    </row>
    <row r="60" spans="2:15" x14ac:dyDescent="0.25">
      <c r="B60" t="s">
        <v>143</v>
      </c>
      <c r="C60" s="3">
        <v>7.4999999999999997E-3</v>
      </c>
      <c r="D60" s="3">
        <v>0</v>
      </c>
      <c r="E60" s="7">
        <f t="shared" si="1"/>
        <v>7.4999999999999997E-3</v>
      </c>
      <c r="F60" s="20" t="s">
        <v>130</v>
      </c>
      <c r="G60" s="9"/>
      <c r="H60" s="9"/>
      <c r="I60" s="9"/>
      <c r="M60" s="9"/>
      <c r="N60" s="9"/>
      <c r="O60" s="12">
        <v>0</v>
      </c>
    </row>
    <row r="61" spans="2:15" x14ac:dyDescent="0.25">
      <c r="B61" t="s">
        <v>144</v>
      </c>
      <c r="C61" s="3">
        <v>0.01</v>
      </c>
      <c r="D61" s="3">
        <v>0</v>
      </c>
      <c r="E61" s="7">
        <f t="shared" si="1"/>
        <v>0.01</v>
      </c>
      <c r="F61" s="20" t="s">
        <v>124</v>
      </c>
      <c r="G61" s="9"/>
      <c r="H61" s="9"/>
      <c r="I61" s="9"/>
      <c r="M61" s="9"/>
      <c r="N61" s="9"/>
      <c r="O61" s="12"/>
    </row>
    <row r="62" spans="2:15" x14ac:dyDescent="0.25">
      <c r="B62" t="s">
        <v>145</v>
      </c>
      <c r="C62" s="3">
        <v>0.01</v>
      </c>
      <c r="D62" s="3">
        <v>1.6E-2</v>
      </c>
      <c r="E62" s="7" t="str">
        <f t="shared" si="1"/>
        <v xml:space="preserve">From 1.0% to 2.60% depending on funds chosen. </v>
      </c>
      <c r="F62" s="20" t="s">
        <v>124</v>
      </c>
      <c r="G62" s="9"/>
      <c r="H62" s="9"/>
      <c r="I62" s="9"/>
      <c r="M62" s="9"/>
      <c r="N62" s="9"/>
      <c r="O62" s="12"/>
    </row>
    <row r="63" spans="2:15" x14ac:dyDescent="0.25">
      <c r="B63" t="s">
        <v>146</v>
      </c>
      <c r="C63" s="3">
        <v>0.01</v>
      </c>
      <c r="D63" s="3">
        <v>1.6E-2</v>
      </c>
      <c r="E63" s="7" t="str">
        <f t="shared" si="1"/>
        <v xml:space="preserve">From 1.0% to 2.60% depending on funds chosen. </v>
      </c>
      <c r="F63" s="20" t="s">
        <v>147</v>
      </c>
      <c r="G63" s="9"/>
      <c r="H63" s="9"/>
      <c r="I63" s="9"/>
      <c r="M63" s="9"/>
      <c r="N63" s="9"/>
      <c r="O63" s="12"/>
    </row>
    <row r="64" spans="2:15" x14ac:dyDescent="0.25">
      <c r="B64" t="s">
        <v>148</v>
      </c>
      <c r="C64" s="3">
        <v>0.01</v>
      </c>
      <c r="D64" s="3">
        <v>1.6E-2</v>
      </c>
      <c r="E64" s="7" t="str">
        <f t="shared" si="1"/>
        <v xml:space="preserve">From 1.0% to 2.60% depending on funds chosen. </v>
      </c>
      <c r="F64" s="20" t="s">
        <v>128</v>
      </c>
      <c r="G64" s="9"/>
      <c r="H64" s="9"/>
      <c r="I64" s="9"/>
      <c r="M64" s="9"/>
      <c r="N64" s="9"/>
      <c r="O64" s="12"/>
    </row>
    <row r="65" spans="1:21" x14ac:dyDescent="0.25">
      <c r="B65" t="s">
        <v>149</v>
      </c>
      <c r="C65" s="3">
        <v>0.01</v>
      </c>
      <c r="D65" s="3">
        <v>1.6E-2</v>
      </c>
      <c r="E65" s="7" t="str">
        <f t="shared" si="1"/>
        <v xml:space="preserve">From 1.0% to 2.60% depending on funds chosen. </v>
      </c>
      <c r="F65" s="9"/>
      <c r="G65" s="9"/>
      <c r="H65" s="9"/>
      <c r="I65" s="9"/>
      <c r="M65" s="9"/>
      <c r="N65" s="9"/>
      <c r="O65" s="12">
        <v>0</v>
      </c>
    </row>
    <row r="66" spans="1:21" x14ac:dyDescent="0.25">
      <c r="B66" t="s">
        <v>150</v>
      </c>
      <c r="C66" s="3">
        <v>1.2E-2</v>
      </c>
      <c r="D66" s="3">
        <v>1.15E-2</v>
      </c>
      <c r="E66" s="7" t="str">
        <f t="shared" si="1"/>
        <v xml:space="preserve">From 1.20% to 2.35% depending on funds chosen. </v>
      </c>
      <c r="F66" s="7"/>
      <c r="G66" s="21" t="s">
        <v>151</v>
      </c>
      <c r="H66" s="9"/>
      <c r="I66" s="9"/>
      <c r="M66" s="9"/>
      <c r="N66" s="9"/>
      <c r="O66" s="12">
        <v>0</v>
      </c>
    </row>
    <row r="67" spans="1:21" x14ac:dyDescent="0.25">
      <c r="B67" t="s">
        <v>152</v>
      </c>
      <c r="C67" s="3">
        <v>9.4999999999999998E-3</v>
      </c>
      <c r="D67" s="3">
        <f>D66</f>
        <v>1.15E-2</v>
      </c>
      <c r="E67" s="7" t="str">
        <f t="shared" si="1"/>
        <v xml:space="preserve">From 0.95% to 2.10% depending on funds chosen. </v>
      </c>
      <c r="F67" s="7"/>
      <c r="G67" s="21" t="s">
        <v>151</v>
      </c>
      <c r="H67" s="9"/>
      <c r="I67" s="9"/>
      <c r="M67" s="9"/>
      <c r="N67" s="9"/>
      <c r="O67" s="12">
        <v>0</v>
      </c>
    </row>
    <row r="68" spans="1:21" x14ac:dyDescent="0.25">
      <c r="B68" t="s">
        <v>153</v>
      </c>
      <c r="C68" s="3">
        <v>7.0000000000000001E-3</v>
      </c>
      <c r="D68" s="3">
        <f>D67</f>
        <v>1.15E-2</v>
      </c>
      <c r="E68" s="7" t="str">
        <f t="shared" si="1"/>
        <v xml:space="preserve">From 0.70% to 1.85% depending on funds chosen. </v>
      </c>
      <c r="F68" s="7"/>
      <c r="G68" s="21" t="s">
        <v>151</v>
      </c>
      <c r="H68" s="9"/>
      <c r="I68" s="9"/>
      <c r="M68" s="9"/>
      <c r="N68" s="9"/>
      <c r="O68" s="12">
        <v>0</v>
      </c>
    </row>
    <row r="69" spans="1:21" x14ac:dyDescent="0.25">
      <c r="B69" t="s">
        <v>154</v>
      </c>
      <c r="C69" s="3">
        <v>4.4999999999999997E-3</v>
      </c>
      <c r="D69" s="3">
        <f>D68</f>
        <v>1.15E-2</v>
      </c>
      <c r="E69" s="7" t="str">
        <f t="shared" ref="E69:E114" si="10">IF(D69=0,C69,"From "&amp;TEXT(ROUND(C69*100,2),"#0.#0")&amp;"% to "&amp;TEXT(ROUND((D69+C69)*100,2),"#0.#0")&amp;"% depending on funds chosen. ")</f>
        <v xml:space="preserve">From 0.45% to 1.60% depending on funds chosen. </v>
      </c>
      <c r="F69" s="7"/>
      <c r="G69" s="21" t="s">
        <v>151</v>
      </c>
      <c r="H69" s="9"/>
      <c r="I69" s="9"/>
      <c r="M69" s="9"/>
      <c r="N69" s="9"/>
      <c r="O69" s="12">
        <v>0</v>
      </c>
    </row>
    <row r="70" spans="1:21" x14ac:dyDescent="0.25">
      <c r="B70" t="s">
        <v>155</v>
      </c>
      <c r="C70" s="3">
        <v>1.4500000000000001E-2</v>
      </c>
      <c r="D70" s="3">
        <v>9.4999999999999998E-3</v>
      </c>
      <c r="E70" s="7" t="str">
        <f t="shared" si="10"/>
        <v xml:space="preserve">From 1.45% to 2.40% depending on funds chosen. </v>
      </c>
      <c r="F70" s="7"/>
      <c r="G70" s="21" t="s">
        <v>151</v>
      </c>
      <c r="H70" s="9"/>
      <c r="I70" s="9"/>
      <c r="M70" s="9"/>
      <c r="N70" s="9"/>
      <c r="O70" s="12">
        <v>0</v>
      </c>
    </row>
    <row r="71" spans="1:21" x14ac:dyDescent="0.25">
      <c r="B71" t="s">
        <v>156</v>
      </c>
      <c r="C71" s="3">
        <v>9.5000000000000015E-3</v>
      </c>
      <c r="D71" s="3">
        <f>D70</f>
        <v>9.4999999999999998E-3</v>
      </c>
      <c r="E71" s="7" t="str">
        <f t="shared" si="10"/>
        <v xml:space="preserve">From 0.95% to 1.90% depending on funds chosen. </v>
      </c>
      <c r="F71" s="7"/>
      <c r="G71" s="21" t="s">
        <v>151</v>
      </c>
      <c r="H71" s="9"/>
      <c r="I71" s="9"/>
      <c r="M71" s="9"/>
      <c r="N71" s="9"/>
      <c r="O71" s="12">
        <v>0</v>
      </c>
    </row>
    <row r="72" spans="1:21" s="15" customFormat="1" x14ac:dyDescent="0.25">
      <c r="A72" s="14"/>
      <c r="B72" s="15" t="s">
        <v>157</v>
      </c>
      <c r="C72" s="19">
        <v>1.2500000000000001E-2</v>
      </c>
      <c r="D72" s="19">
        <v>1.6E-2</v>
      </c>
      <c r="E72" s="7" t="str">
        <f t="shared" si="10"/>
        <v xml:space="preserve">From 1.25% to 2.85% depending on funds chosen. </v>
      </c>
      <c r="F72" s="7"/>
      <c r="G72" s="9"/>
      <c r="H72" s="9"/>
      <c r="I72" s="9"/>
      <c r="J72"/>
      <c r="K72"/>
      <c r="L72"/>
      <c r="M72" s="9"/>
      <c r="N72" s="9"/>
      <c r="O72" s="12">
        <v>0</v>
      </c>
      <c r="P72"/>
      <c r="Q72"/>
      <c r="R72"/>
      <c r="S72"/>
      <c r="T72"/>
      <c r="U72"/>
    </row>
    <row r="73" spans="1:21" x14ac:dyDescent="0.25">
      <c r="B73" s="1"/>
      <c r="C73" s="1"/>
      <c r="D73" s="1"/>
      <c r="E73" s="1"/>
      <c r="F73" s="1"/>
      <c r="G73" s="1"/>
      <c r="H73" s="1"/>
      <c r="I73" s="1"/>
      <c r="J73" s="1"/>
      <c r="K73" s="1"/>
      <c r="L73" s="1"/>
      <c r="M73" s="1"/>
      <c r="N73" s="1"/>
      <c r="O73" s="1"/>
    </row>
    <row r="74" spans="1:21" x14ac:dyDescent="0.25">
      <c r="A74" s="1" t="s">
        <v>158</v>
      </c>
      <c r="B74" t="s">
        <v>159</v>
      </c>
      <c r="C74" s="3">
        <v>0.01</v>
      </c>
      <c r="D74" s="3">
        <v>0</v>
      </c>
      <c r="E74" s="7">
        <f t="shared" si="10"/>
        <v>0.01</v>
      </c>
      <c r="F74" s="20" t="str">
        <f>"This product has a contribution charge of "&amp;TEXT(O74,"0.00%")&amp;" on future contributions, not including transfers."</f>
        <v>This product has a contribution charge of 5.00% on future contributions, not including transfers.</v>
      </c>
      <c r="G74" s="9"/>
      <c r="H74" s="9"/>
      <c r="I74" s="9"/>
      <c r="M74" s="9"/>
      <c r="N74" s="9"/>
      <c r="O74" s="12">
        <v>0.05</v>
      </c>
    </row>
    <row r="75" spans="1:21" x14ac:dyDescent="0.25">
      <c r="B75" t="s">
        <v>160</v>
      </c>
      <c r="C75" s="3">
        <v>0.01</v>
      </c>
      <c r="D75" s="3">
        <v>9.4999999999999998E-3</v>
      </c>
      <c r="E75" s="7" t="str">
        <f t="shared" si="10"/>
        <v xml:space="preserve">From 1.0% to 1.95% depending on funds chosen. </v>
      </c>
      <c r="F75" s="20" t="str">
        <f>"This product has a contribution charge on future contributions excluding transfers which is tiered based on contribution amount. The max contribution charge is "&amp;TEXT(O75,"0.00%")&amp;"."</f>
        <v>This product has a contribution charge on future contributions excluding transfers which is tiered based on contribution amount. The max contribution charge is 5.00%.</v>
      </c>
      <c r="G75" s="9"/>
      <c r="H75" s="9"/>
      <c r="I75" s="9"/>
      <c r="M75" s="9"/>
      <c r="N75" s="9"/>
      <c r="O75" s="12">
        <v>0.05</v>
      </c>
    </row>
    <row r="76" spans="1:21" x14ac:dyDescent="0.25">
      <c r="B76" t="s">
        <v>161</v>
      </c>
      <c r="C76" s="3">
        <v>0.01</v>
      </c>
      <c r="D76" s="3">
        <v>9.4999999999999998E-3</v>
      </c>
      <c r="E76" s="7" t="str">
        <f t="shared" si="10"/>
        <v xml:space="preserve">From 1.0% to 1.95% depending on funds chosen. </v>
      </c>
      <c r="F76" s="20" t="str">
        <f>"This product has a contribution charge on future contributions excluding transfers which is tiered based on contribution amount. The max contribution charge is "&amp;TEXT(O76,"0.00%")&amp;"."</f>
        <v>This product has a contribution charge on future contributions excluding transfers which is tiered based on contribution amount. The max contribution charge is 3.75%.</v>
      </c>
      <c r="G76" s="9"/>
      <c r="H76" s="9"/>
      <c r="I76" s="9"/>
      <c r="M76" s="9"/>
      <c r="N76" s="9"/>
      <c r="O76" s="12">
        <v>3.7499999999999999E-2</v>
      </c>
    </row>
    <row r="77" spans="1:21" x14ac:dyDescent="0.25">
      <c r="B77" t="s">
        <v>162</v>
      </c>
      <c r="C77" s="3">
        <v>0.01</v>
      </c>
      <c r="D77" s="3">
        <v>9.4999999999999998E-3</v>
      </c>
      <c r="E77" s="7" t="str">
        <f t="shared" si="10"/>
        <v xml:space="preserve">From 1.0% to 1.95% depending on funds chosen. </v>
      </c>
      <c r="F77" s="20" t="str">
        <f>"This product has a contribution charge on future contributions excluding transfers which is tiered based on contribution amount. The max contribution charge is "&amp;TEXT(O77,"0.00%")&amp;"."</f>
        <v>This product has a contribution charge on future contributions excluding transfers which is tiered based on contribution amount. The max contribution charge is 2.50%.</v>
      </c>
      <c r="G77" s="9"/>
      <c r="H77" s="9"/>
      <c r="I77" s="9"/>
      <c r="M77" s="9"/>
      <c r="N77" s="9"/>
      <c r="O77" s="12">
        <v>2.5000000000000001E-2</v>
      </c>
    </row>
    <row r="78" spans="1:21" s="15" customFormat="1" ht="15.75" customHeight="1" x14ac:dyDescent="0.25">
      <c r="A78" s="14"/>
      <c r="B78" s="15" t="s">
        <v>163</v>
      </c>
      <c r="C78" s="19">
        <v>0.01</v>
      </c>
      <c r="D78" s="19">
        <v>9.4999999999999998E-3</v>
      </c>
      <c r="E78" s="7" t="str">
        <f t="shared" si="10"/>
        <v xml:space="preserve">From 1.0% to 1.95% depending on funds chosen. </v>
      </c>
      <c r="F78" s="20" t="str">
        <f>"This product has a contribution charge of "&amp;TEXT(O78,"0.00%")&amp;" on future contributions."</f>
        <v>This product has a contribution charge of 0.00% on future contributions.</v>
      </c>
      <c r="G78" s="9"/>
      <c r="H78" s="9"/>
      <c r="I78" s="9"/>
      <c r="J78"/>
      <c r="K78"/>
      <c r="L78"/>
      <c r="M78" s="9"/>
      <c r="N78" s="9"/>
      <c r="O78" s="12">
        <v>0</v>
      </c>
      <c r="P78"/>
      <c r="Q78"/>
      <c r="R78"/>
      <c r="S78"/>
      <c r="T78"/>
      <c r="U78"/>
    </row>
    <row r="79" spans="1:21" ht="15.75" customHeight="1" x14ac:dyDescent="0.25">
      <c r="B79" s="1"/>
      <c r="C79" s="1"/>
      <c r="D79" s="1"/>
      <c r="E79" s="1"/>
      <c r="F79" s="1"/>
      <c r="G79" s="1"/>
      <c r="H79" s="1"/>
      <c r="I79" s="1"/>
      <c r="J79" s="1"/>
      <c r="K79" s="1"/>
      <c r="L79" s="1"/>
      <c r="M79" s="1"/>
      <c r="N79" s="1"/>
      <c r="O79" s="1"/>
    </row>
    <row r="80" spans="1:21" x14ac:dyDescent="0.25">
      <c r="A80" s="1" t="s">
        <v>164</v>
      </c>
      <c r="B80" t="s">
        <v>165</v>
      </c>
      <c r="C80" s="3">
        <v>1.0200000000000001E-2</v>
      </c>
      <c r="D80" s="3">
        <v>9.4999999999999998E-3</v>
      </c>
      <c r="E80" s="7" t="str">
        <f t="shared" si="10"/>
        <v xml:space="preserve">From 1.02% to 1.97% depending on funds chosen. </v>
      </c>
      <c r="F80" s="20" t="s">
        <v>166</v>
      </c>
      <c r="G80" s="21" t="s">
        <v>167</v>
      </c>
      <c r="H80" s="9"/>
      <c r="I80" s="9"/>
      <c r="M80" s="9"/>
      <c r="N80" s="9"/>
      <c r="O80" s="12"/>
    </row>
    <row r="81" spans="1:21" x14ac:dyDescent="0.25">
      <c r="B81" t="s">
        <v>168</v>
      </c>
      <c r="C81" s="3">
        <v>1.0200000000000001E-2</v>
      </c>
      <c r="D81" s="3">
        <v>9.4999999999999998E-3</v>
      </c>
      <c r="E81" s="7" t="str">
        <f t="shared" si="10"/>
        <v xml:space="preserve">From 1.02% to 1.97% depending on funds chosen. </v>
      </c>
      <c r="F81" s="20" t="s">
        <v>169</v>
      </c>
      <c r="G81" s="21" t="s">
        <v>167</v>
      </c>
      <c r="H81" s="9"/>
      <c r="I81" s="9"/>
      <c r="M81" s="9"/>
      <c r="N81" s="9"/>
      <c r="O81" s="12"/>
    </row>
    <row r="82" spans="1:21" x14ac:dyDescent="0.25">
      <c r="B82" t="s">
        <v>170</v>
      </c>
      <c r="C82" s="3">
        <v>1.0200000000000001E-2</v>
      </c>
      <c r="D82" s="3">
        <v>9.4999999999999998E-3</v>
      </c>
      <c r="E82" s="7" t="str">
        <f t="shared" si="10"/>
        <v xml:space="preserve">From 1.02% to 1.97% depending on funds chosen. </v>
      </c>
      <c r="F82" s="20" t="s">
        <v>133</v>
      </c>
      <c r="G82" s="21" t="s">
        <v>167</v>
      </c>
      <c r="H82" s="9"/>
      <c r="I82" s="9"/>
      <c r="M82" s="9"/>
      <c r="N82" s="9"/>
      <c r="O82" s="12"/>
    </row>
    <row r="83" spans="1:21" x14ac:dyDescent="0.25">
      <c r="B83" t="s">
        <v>171</v>
      </c>
      <c r="C83" s="3">
        <v>1.0200000000000001E-2</v>
      </c>
      <c r="D83" s="3">
        <v>9.4999999999999998E-3</v>
      </c>
      <c r="E83" s="7" t="str">
        <f t="shared" si="10"/>
        <v xml:space="preserve">From 1.02% to 1.97% depending on funds chosen. </v>
      </c>
      <c r="F83" s="20" t="s">
        <v>130</v>
      </c>
      <c r="G83" s="21" t="s">
        <v>167</v>
      </c>
      <c r="H83" s="9"/>
      <c r="I83" s="9"/>
      <c r="M83" s="9"/>
      <c r="N83" s="9"/>
      <c r="O83" s="12"/>
    </row>
    <row r="84" spans="1:21" s="15" customFormat="1" x14ac:dyDescent="0.25">
      <c r="A84" s="14"/>
      <c r="B84" s="15" t="s">
        <v>172</v>
      </c>
      <c r="C84" s="19">
        <v>7.7000000000000002E-3</v>
      </c>
      <c r="D84" s="19">
        <v>9.4999999999999998E-3</v>
      </c>
      <c r="E84" s="7" t="str">
        <f t="shared" si="10"/>
        <v xml:space="preserve">From 0.77% to 1.72% depending on funds chosen. </v>
      </c>
      <c r="F84" s="20" t="s">
        <v>169</v>
      </c>
      <c r="G84" s="21" t="s">
        <v>167</v>
      </c>
      <c r="H84" s="9"/>
      <c r="I84" s="9"/>
      <c r="J84"/>
      <c r="K84"/>
      <c r="L84"/>
      <c r="M84" s="9"/>
      <c r="N84" s="9"/>
      <c r="O84" s="12"/>
      <c r="P84"/>
      <c r="Q84"/>
      <c r="R84"/>
      <c r="S84"/>
      <c r="T84"/>
      <c r="U84"/>
    </row>
    <row r="85" spans="1:21" x14ac:dyDescent="0.25">
      <c r="C85"/>
      <c r="D85"/>
      <c r="O85"/>
    </row>
    <row r="86" spans="1:21" x14ac:dyDescent="0.25">
      <c r="A86" s="1" t="s">
        <v>173</v>
      </c>
      <c r="B86" t="s">
        <v>174</v>
      </c>
      <c r="C86" s="3">
        <v>0.01</v>
      </c>
      <c r="D86" s="3">
        <v>0</v>
      </c>
      <c r="E86" s="7">
        <f t="shared" si="10"/>
        <v>0.01</v>
      </c>
      <c r="F86" s="18" t="s">
        <v>124</v>
      </c>
      <c r="G86" s="7"/>
      <c r="H86" s="9"/>
      <c r="I86" s="9"/>
      <c r="M86" s="22"/>
      <c r="N86" s="22"/>
      <c r="O86" s="23"/>
    </row>
    <row r="87" spans="1:21" x14ac:dyDescent="0.25">
      <c r="B87" t="s">
        <v>175</v>
      </c>
      <c r="C87" s="3">
        <v>0.01</v>
      </c>
      <c r="D87" s="3">
        <v>0</v>
      </c>
      <c r="E87" s="7">
        <f t="shared" si="10"/>
        <v>0.01</v>
      </c>
      <c r="F87" s="18" t="s">
        <v>176</v>
      </c>
      <c r="G87" s="9"/>
      <c r="H87" s="9"/>
      <c r="I87" s="9"/>
      <c r="M87" s="9"/>
      <c r="N87" s="9"/>
      <c r="O87" s="12"/>
    </row>
    <row r="88" spans="1:21" x14ac:dyDescent="0.25">
      <c r="B88" t="s">
        <v>177</v>
      </c>
      <c r="C88" s="3">
        <v>7.4999999999999997E-3</v>
      </c>
      <c r="D88" s="3">
        <v>0</v>
      </c>
      <c r="E88" s="7">
        <f t="shared" si="10"/>
        <v>7.4999999999999997E-3</v>
      </c>
      <c r="F88" s="18" t="s">
        <v>176</v>
      </c>
      <c r="G88" s="9"/>
      <c r="H88" s="9"/>
      <c r="I88" s="9"/>
      <c r="M88" s="9"/>
      <c r="N88" s="9"/>
      <c r="O88" s="12"/>
    </row>
    <row r="89" spans="1:21" x14ac:dyDescent="0.25">
      <c r="B89" t="s">
        <v>178</v>
      </c>
      <c r="C89" s="3">
        <v>0.01</v>
      </c>
      <c r="D89" s="3">
        <v>0</v>
      </c>
      <c r="E89" s="7">
        <f t="shared" si="10"/>
        <v>0.01</v>
      </c>
      <c r="F89" s="18" t="s">
        <v>179</v>
      </c>
      <c r="G89" s="9"/>
      <c r="H89" s="9"/>
      <c r="I89" s="9"/>
      <c r="M89" s="9"/>
      <c r="N89" s="9"/>
      <c r="O89" s="12"/>
    </row>
    <row r="90" spans="1:21" x14ac:dyDescent="0.25">
      <c r="B90" t="s">
        <v>180</v>
      </c>
      <c r="C90" s="3">
        <v>0.01</v>
      </c>
      <c r="D90" s="3">
        <v>0</v>
      </c>
      <c r="E90" s="7">
        <f t="shared" si="10"/>
        <v>0.01</v>
      </c>
      <c r="F90" s="18" t="s">
        <v>181</v>
      </c>
      <c r="G90" s="9"/>
      <c r="H90" s="9"/>
      <c r="I90" s="9"/>
      <c r="M90" s="9"/>
      <c r="N90" s="9"/>
      <c r="O90" s="12"/>
    </row>
    <row r="91" spans="1:21" x14ac:dyDescent="0.25">
      <c r="B91" t="s">
        <v>182</v>
      </c>
      <c r="C91" s="3">
        <v>0.01</v>
      </c>
      <c r="D91" s="3">
        <v>0</v>
      </c>
      <c r="E91" s="7">
        <f t="shared" si="10"/>
        <v>0.01</v>
      </c>
      <c r="F91" s="18" t="s">
        <v>176</v>
      </c>
      <c r="G91" s="9"/>
      <c r="H91" s="9"/>
      <c r="I91" s="9"/>
      <c r="M91" s="9"/>
      <c r="N91" s="9"/>
      <c r="O91" s="12"/>
    </row>
    <row r="92" spans="1:21" x14ac:dyDescent="0.25">
      <c r="B92" t="s">
        <v>183</v>
      </c>
      <c r="C92" s="3">
        <v>0.01</v>
      </c>
      <c r="D92" s="3">
        <v>0</v>
      </c>
      <c r="E92" s="7">
        <f t="shared" si="10"/>
        <v>0.01</v>
      </c>
      <c r="F92" s="7"/>
      <c r="G92" s="9"/>
      <c r="H92" s="9"/>
      <c r="I92" s="9"/>
      <c r="M92" s="9"/>
      <c r="N92" s="9"/>
      <c r="O92" s="12">
        <v>0.05</v>
      </c>
    </row>
    <row r="93" spans="1:21" x14ac:dyDescent="0.25">
      <c r="B93" t="s">
        <v>184</v>
      </c>
      <c r="C93" s="3">
        <v>0.01</v>
      </c>
      <c r="D93" s="3">
        <v>0</v>
      </c>
      <c r="E93" s="7">
        <f t="shared" si="10"/>
        <v>0.01</v>
      </c>
      <c r="F93" s="7"/>
      <c r="G93" s="9"/>
      <c r="H93" s="9"/>
      <c r="I93" s="9"/>
      <c r="M93" s="9"/>
      <c r="N93" s="9"/>
      <c r="O93" s="12"/>
    </row>
    <row r="94" spans="1:21" x14ac:dyDescent="0.25">
      <c r="B94" t="s">
        <v>185</v>
      </c>
      <c r="C94" s="3">
        <v>0.01</v>
      </c>
      <c r="D94" s="3">
        <v>0</v>
      </c>
      <c r="E94" s="7">
        <f t="shared" si="10"/>
        <v>0.01</v>
      </c>
      <c r="F94" s="7"/>
      <c r="G94" s="9"/>
      <c r="H94" s="9"/>
      <c r="I94" s="9"/>
      <c r="M94" s="9"/>
      <c r="N94" s="9"/>
      <c r="O94" s="12">
        <v>0</v>
      </c>
    </row>
    <row r="95" spans="1:21" x14ac:dyDescent="0.25">
      <c r="B95" t="s">
        <v>186</v>
      </c>
      <c r="C95" s="3">
        <v>0.01</v>
      </c>
      <c r="D95" s="3">
        <v>0</v>
      </c>
      <c r="E95" s="7">
        <f t="shared" si="10"/>
        <v>0.01</v>
      </c>
      <c r="F95" s="7"/>
      <c r="G95" s="9"/>
      <c r="H95" s="9"/>
      <c r="I95" s="9"/>
      <c r="M95" s="9"/>
      <c r="N95" s="9"/>
      <c r="O95" s="12">
        <v>0.01</v>
      </c>
    </row>
    <row r="96" spans="1:21" x14ac:dyDescent="0.25">
      <c r="B96" t="s">
        <v>187</v>
      </c>
      <c r="C96" s="3">
        <v>0.01</v>
      </c>
      <c r="D96" s="3">
        <v>0</v>
      </c>
      <c r="E96" s="7">
        <f t="shared" si="10"/>
        <v>0.01</v>
      </c>
      <c r="F96" s="7"/>
      <c r="G96" s="9"/>
      <c r="H96" s="9"/>
      <c r="I96" s="9"/>
      <c r="M96" s="9"/>
      <c r="N96" s="9"/>
      <c r="O96" s="12">
        <v>0.02</v>
      </c>
    </row>
    <row r="97" spans="2:15" x14ac:dyDescent="0.25">
      <c r="B97" t="s">
        <v>188</v>
      </c>
      <c r="C97" s="3">
        <v>5.0000000000000001E-3</v>
      </c>
      <c r="D97" s="3">
        <v>0</v>
      </c>
      <c r="E97" s="7">
        <f t="shared" si="10"/>
        <v>5.0000000000000001E-3</v>
      </c>
      <c r="F97" s="7"/>
      <c r="G97" s="9"/>
      <c r="H97" s="9"/>
      <c r="I97" s="9"/>
      <c r="M97" s="9"/>
      <c r="N97" s="9"/>
      <c r="O97" s="12">
        <v>0</v>
      </c>
    </row>
    <row r="98" spans="2:15" x14ac:dyDescent="0.25">
      <c r="B98" t="s">
        <v>189</v>
      </c>
      <c r="C98" s="3">
        <v>7.4999999999999997E-3</v>
      </c>
      <c r="D98" s="3">
        <v>0</v>
      </c>
      <c r="E98" s="7">
        <f t="shared" si="10"/>
        <v>7.4999999999999997E-3</v>
      </c>
      <c r="F98" s="7"/>
      <c r="G98" s="9"/>
      <c r="H98" s="9"/>
      <c r="I98" s="9"/>
      <c r="M98" s="9"/>
      <c r="N98" s="9"/>
      <c r="O98" s="12">
        <v>0</v>
      </c>
    </row>
    <row r="99" spans="2:15" x14ac:dyDescent="0.25">
      <c r="B99" t="s">
        <v>190</v>
      </c>
      <c r="C99" s="3">
        <v>0.01</v>
      </c>
      <c r="D99" s="3">
        <v>4.1999999999999997E-3</v>
      </c>
      <c r="E99" s="7" t="str">
        <f t="shared" si="10"/>
        <v xml:space="preserve">From 1.0% to 1.42% depending on funds chosen. </v>
      </c>
      <c r="F99" s="18" t="s">
        <v>124</v>
      </c>
      <c r="G99" s="9"/>
      <c r="H99" s="9"/>
      <c r="I99" s="9"/>
      <c r="M99" s="9"/>
      <c r="N99" s="9"/>
      <c r="O99" s="12"/>
    </row>
    <row r="100" spans="2:15" x14ac:dyDescent="0.25">
      <c r="B100" t="s">
        <v>191</v>
      </c>
      <c r="C100" s="3">
        <v>0.01</v>
      </c>
      <c r="D100" s="3">
        <v>4.1999999999999997E-3</v>
      </c>
      <c r="E100" s="7" t="str">
        <f t="shared" si="10"/>
        <v xml:space="preserve">From 1.0% to 1.42% depending on funds chosen. </v>
      </c>
      <c r="F100" s="18" t="s">
        <v>192</v>
      </c>
      <c r="G100" s="9"/>
      <c r="H100" s="9"/>
      <c r="I100" s="9"/>
      <c r="M100" s="9"/>
      <c r="N100" s="9"/>
      <c r="O100" s="12"/>
    </row>
    <row r="101" spans="2:15" x14ac:dyDescent="0.25">
      <c r="B101" t="s">
        <v>193</v>
      </c>
      <c r="C101" s="3">
        <v>0.01</v>
      </c>
      <c r="D101" s="3">
        <v>4.1999999999999997E-3</v>
      </c>
      <c r="E101" s="7" t="str">
        <f t="shared" si="10"/>
        <v xml:space="preserve">From 1.0% to 1.42% depending on funds chosen. </v>
      </c>
      <c r="F101" s="18" t="s">
        <v>181</v>
      </c>
      <c r="G101" s="9"/>
      <c r="H101" s="9"/>
      <c r="I101" s="9"/>
      <c r="M101" s="9"/>
      <c r="N101" s="9"/>
      <c r="O101" s="12"/>
    </row>
    <row r="102" spans="2:15" x14ac:dyDescent="0.25">
      <c r="B102" t="s">
        <v>194</v>
      </c>
      <c r="C102" s="3">
        <v>0.01</v>
      </c>
      <c r="D102" s="3">
        <v>4.1999999999999997E-3</v>
      </c>
      <c r="E102" s="7" t="str">
        <f t="shared" si="10"/>
        <v xml:space="preserve">From 1.0% to 1.42% depending on funds chosen. </v>
      </c>
      <c r="F102" s="24" t="s">
        <v>195</v>
      </c>
      <c r="G102" s="9"/>
      <c r="H102" s="9"/>
      <c r="I102" s="9"/>
      <c r="M102" s="9"/>
      <c r="N102" s="9"/>
      <c r="O102" s="12"/>
    </row>
    <row r="103" spans="2:15" x14ac:dyDescent="0.25">
      <c r="B103" t="s">
        <v>196</v>
      </c>
      <c r="C103" s="3">
        <v>1.7500000000000002E-2</v>
      </c>
      <c r="D103" s="3">
        <v>4.1999999999999997E-3</v>
      </c>
      <c r="E103" s="7" t="str">
        <f t="shared" si="10"/>
        <v xml:space="preserve">From 1.75% to 2.17% depending on funds chosen. </v>
      </c>
      <c r="F103" s="18" t="s">
        <v>124</v>
      </c>
      <c r="G103" s="9"/>
      <c r="H103" s="9"/>
      <c r="I103" s="9"/>
      <c r="M103" s="9"/>
      <c r="N103" s="9"/>
      <c r="O103" s="12"/>
    </row>
    <row r="104" spans="2:15" x14ac:dyDescent="0.25">
      <c r="B104" t="s">
        <v>197</v>
      </c>
      <c r="C104" s="3">
        <v>1.4999999999999999E-2</v>
      </c>
      <c r="D104" s="3">
        <v>4.1999999999999997E-3</v>
      </c>
      <c r="E104" s="7" t="str">
        <f t="shared" si="10"/>
        <v xml:space="preserve">From 1.50% to 1.92% depending on funds chosen. </v>
      </c>
      <c r="F104" s="18" t="s">
        <v>124</v>
      </c>
      <c r="G104" s="9"/>
      <c r="H104" s="9"/>
      <c r="I104" s="9"/>
      <c r="M104" s="9"/>
      <c r="N104" s="9"/>
      <c r="O104" s="12"/>
    </row>
    <row r="105" spans="2:15" x14ac:dyDescent="0.25">
      <c r="B105" t="s">
        <v>198</v>
      </c>
      <c r="C105" s="3">
        <v>1.4999999999999999E-2</v>
      </c>
      <c r="D105" s="3">
        <v>4.1999999999999997E-3</v>
      </c>
      <c r="E105" s="7" t="str">
        <f t="shared" si="10"/>
        <v xml:space="preserve">From 1.50% to 1.92% depending on funds chosen. </v>
      </c>
      <c r="F105" s="18" t="s">
        <v>179</v>
      </c>
      <c r="G105" s="9"/>
      <c r="H105" s="9"/>
      <c r="I105" s="9"/>
      <c r="M105" s="9"/>
      <c r="N105" s="9"/>
      <c r="O105" s="12"/>
    </row>
    <row r="106" spans="2:15" x14ac:dyDescent="0.25">
      <c r="B106" t="s">
        <v>199</v>
      </c>
      <c r="C106" s="3">
        <v>1.4999999999999999E-2</v>
      </c>
      <c r="D106" s="3">
        <v>4.1999999999999997E-3</v>
      </c>
      <c r="E106" s="7" t="str">
        <f t="shared" si="10"/>
        <v xml:space="preserve">From 1.50% to 1.92% depending on funds chosen. </v>
      </c>
      <c r="F106" s="18" t="s">
        <v>181</v>
      </c>
      <c r="G106" s="9"/>
      <c r="H106" s="9"/>
      <c r="I106" s="9"/>
      <c r="M106" s="9"/>
      <c r="N106" s="9"/>
      <c r="O106" s="12"/>
    </row>
    <row r="107" spans="2:15" x14ac:dyDescent="0.25">
      <c r="B107" t="s">
        <v>200</v>
      </c>
      <c r="C107" s="3">
        <v>1.4999999999999999E-2</v>
      </c>
      <c r="D107" s="3">
        <v>4.1999999999999997E-3</v>
      </c>
      <c r="E107" s="7" t="str">
        <f t="shared" si="10"/>
        <v xml:space="preserve">From 1.50% to 1.92% depending on funds chosen. </v>
      </c>
      <c r="F107" s="24" t="s">
        <v>195</v>
      </c>
      <c r="G107" s="9"/>
      <c r="H107" s="9"/>
      <c r="I107" s="9"/>
      <c r="M107" s="9"/>
      <c r="N107" s="9"/>
      <c r="O107" s="12"/>
    </row>
    <row r="108" spans="2:15" x14ac:dyDescent="0.25">
      <c r="B108" t="s">
        <v>201</v>
      </c>
      <c r="C108" s="3">
        <v>7.4999999999999997E-3</v>
      </c>
      <c r="D108" s="3">
        <v>4.1999999999999997E-3</v>
      </c>
      <c r="E108" s="7" t="str">
        <f t="shared" si="10"/>
        <v xml:space="preserve">From 0.75% to 1.17% depending on funds chosen. </v>
      </c>
      <c r="F108" s="18" t="s">
        <v>181</v>
      </c>
      <c r="G108" s="9"/>
      <c r="H108" s="9"/>
      <c r="I108" s="9"/>
      <c r="M108" s="9"/>
      <c r="N108" s="9"/>
      <c r="O108" s="12"/>
    </row>
    <row r="109" spans="2:15" x14ac:dyDescent="0.25">
      <c r="B109" t="s">
        <v>202</v>
      </c>
      <c r="C109" s="3">
        <v>7.4999999999999997E-3</v>
      </c>
      <c r="D109" s="3">
        <v>4.1999999999999997E-3</v>
      </c>
      <c r="E109" s="7" t="str">
        <f t="shared" si="10"/>
        <v xml:space="preserve">From 0.75% to 1.17% depending on funds chosen. </v>
      </c>
      <c r="F109" s="24" t="s">
        <v>195</v>
      </c>
      <c r="G109" s="9"/>
      <c r="H109" s="9"/>
      <c r="I109" s="9"/>
      <c r="M109" s="9"/>
      <c r="N109" s="9"/>
      <c r="O109" s="12"/>
    </row>
    <row r="110" spans="2:15" x14ac:dyDescent="0.25">
      <c r="B110" t="s">
        <v>203</v>
      </c>
      <c r="C110" s="3">
        <v>1.2500000000000001E-2</v>
      </c>
      <c r="D110" s="3">
        <v>4.1999999999999997E-3</v>
      </c>
      <c r="E110" s="7" t="str">
        <f t="shared" si="10"/>
        <v xml:space="preserve">From 1.25% to 1.67% depending on funds chosen. </v>
      </c>
      <c r="F110" s="18" t="s">
        <v>192</v>
      </c>
      <c r="G110" s="9"/>
      <c r="H110" s="9"/>
      <c r="I110" s="9"/>
      <c r="M110" s="9"/>
      <c r="N110" s="9"/>
      <c r="O110" s="12"/>
    </row>
    <row r="111" spans="2:15" x14ac:dyDescent="0.25">
      <c r="B111" t="s">
        <v>204</v>
      </c>
      <c r="C111" s="3">
        <v>1.2500000000000001E-2</v>
      </c>
      <c r="D111" s="3">
        <v>4.1999999999999997E-3</v>
      </c>
      <c r="E111" s="7" t="str">
        <f t="shared" si="10"/>
        <v xml:space="preserve">From 1.25% to 1.67% depending on funds chosen. </v>
      </c>
      <c r="F111" s="7" t="str">
        <f t="shared" ref="F111:F114" si="11">"This product has a "&amp;O111*100&amp;"% contribution charge. "</f>
        <v xml:space="preserve">This product has a 0% contribution charge. </v>
      </c>
      <c r="G111" s="9"/>
      <c r="H111" s="9"/>
      <c r="I111" s="9"/>
      <c r="M111" s="9"/>
      <c r="N111" s="9"/>
      <c r="O111" s="12">
        <v>0</v>
      </c>
    </row>
    <row r="112" spans="2:15" x14ac:dyDescent="0.25">
      <c r="B112" t="s">
        <v>205</v>
      </c>
      <c r="C112" s="3">
        <v>1.2500000000000001E-2</v>
      </c>
      <c r="D112" s="3">
        <v>4.1999999999999997E-3</v>
      </c>
      <c r="E112" s="7" t="str">
        <f t="shared" si="10"/>
        <v xml:space="preserve">From 1.25% to 1.67% depending on funds chosen. </v>
      </c>
      <c r="F112" s="7" t="str">
        <f t="shared" si="11"/>
        <v xml:space="preserve">This product has a 1% contribution charge. </v>
      </c>
      <c r="G112" s="9"/>
      <c r="H112" s="9"/>
      <c r="I112" s="9"/>
      <c r="M112" s="9"/>
      <c r="N112" s="9"/>
      <c r="O112" s="12">
        <v>0.01</v>
      </c>
    </row>
    <row r="113" spans="1:24" x14ac:dyDescent="0.25">
      <c r="B113" t="s">
        <v>206</v>
      </c>
      <c r="C113" s="3">
        <v>1.2500000000000001E-2</v>
      </c>
      <c r="D113" s="3">
        <v>4.1999999999999997E-3</v>
      </c>
      <c r="E113" s="7" t="str">
        <f t="shared" si="10"/>
        <v xml:space="preserve">From 1.25% to 1.67% depending on funds chosen. </v>
      </c>
      <c r="F113" s="7" t="str">
        <f t="shared" si="11"/>
        <v xml:space="preserve">This product has a 2% contribution charge. </v>
      </c>
      <c r="G113" s="9"/>
      <c r="H113" s="9"/>
      <c r="I113" s="9"/>
      <c r="M113" s="9"/>
      <c r="N113" s="9"/>
      <c r="O113" s="12">
        <v>0.02</v>
      </c>
    </row>
    <row r="114" spans="1:24" s="15" customFormat="1" x14ac:dyDescent="0.25">
      <c r="A114" s="14"/>
      <c r="B114" s="15" t="s">
        <v>207</v>
      </c>
      <c r="C114" s="19">
        <v>1.4999999999999999E-2</v>
      </c>
      <c r="D114" s="19">
        <v>4.1999999999999997E-3</v>
      </c>
      <c r="E114" s="7" t="str">
        <f t="shared" si="10"/>
        <v xml:space="preserve">From 1.50% to 1.92% depending on funds chosen. </v>
      </c>
      <c r="F114" s="7" t="str">
        <f t="shared" si="11"/>
        <v xml:space="preserve">This product has a 0% contribution charge. </v>
      </c>
      <c r="G114" s="9"/>
      <c r="H114" s="9"/>
      <c r="I114" s="9"/>
      <c r="J114"/>
      <c r="K114"/>
      <c r="L114"/>
      <c r="M114" s="9"/>
      <c r="N114" s="9"/>
      <c r="O114" s="12">
        <v>0</v>
      </c>
      <c r="P114"/>
      <c r="Q114"/>
      <c r="R114"/>
      <c r="S114"/>
      <c r="T114"/>
      <c r="U114"/>
      <c r="V114"/>
      <c r="W114"/>
      <c r="X114"/>
    </row>
    <row r="115" spans="1:24" ht="15.75" thickBot="1" x14ac:dyDescent="0.3">
      <c r="C115" s="17"/>
      <c r="D115" s="17"/>
      <c r="E115" s="17"/>
      <c r="F115" s="3"/>
      <c r="O115" s="25"/>
    </row>
    <row r="116" spans="1:24" s="27" customFormat="1" ht="13.5" thickBot="1" x14ac:dyDescent="0.25">
      <c r="A116" s="26" t="s">
        <v>208</v>
      </c>
      <c r="C116" s="28"/>
      <c r="D116" s="28"/>
      <c r="E116" s="28"/>
      <c r="F116" s="28"/>
      <c r="O116" s="29"/>
    </row>
    <row r="117" spans="1:24" x14ac:dyDescent="0.25">
      <c r="C117"/>
      <c r="D117"/>
      <c r="O117"/>
    </row>
    <row r="118" spans="1:24" x14ac:dyDescent="0.25">
      <c r="A118" s="1" t="s">
        <v>27</v>
      </c>
      <c r="B118" t="s">
        <v>209</v>
      </c>
      <c r="C118" s="3">
        <v>0.01</v>
      </c>
      <c r="D118" s="3">
        <v>1.4500000000000001E-2</v>
      </c>
      <c r="E118" s="7" t="str">
        <f>IF(D118=0,C118,"From "&amp;TEXT(ROUND(C118*100,2),"#0.#0")&amp;"% to "&amp;TEXT(ROUND((D118+C118)*100,2),"#0.#0")&amp;"% depending on funds chosen. ")</f>
        <v xml:space="preserve">From 1.0% to 2.45% depending on funds chosen. </v>
      </c>
      <c r="F118" s="7" t="str">
        <f>"This product has a "&amp;O118*100&amp;"% contribution charge. "</f>
        <v xml:space="preserve">This product has a 5% contribution charge. </v>
      </c>
      <c r="G118" s="9"/>
      <c r="H118" s="9"/>
      <c r="I118" s="9"/>
      <c r="M118" s="9"/>
      <c r="N118" s="9"/>
      <c r="O118" s="12">
        <v>0.05</v>
      </c>
    </row>
    <row r="119" spans="1:24" x14ac:dyDescent="0.25">
      <c r="B119" t="s">
        <v>210</v>
      </c>
      <c r="C119" s="3">
        <v>0.01</v>
      </c>
      <c r="D119" s="3">
        <v>1.4500000000000001E-2</v>
      </c>
      <c r="E119" s="7" t="str">
        <f>IF(D119=0,C119,"From "&amp;TEXT(ROUND(C119*100,2),"#0.#0")&amp;"% to "&amp;TEXT(ROUND((D119+C119)*100,2),"#0.#0")&amp;"% depending on funds chosen. ")</f>
        <v xml:space="preserve">From 1.0% to 2.45% depending on funds chosen. </v>
      </c>
      <c r="F119" s="7" t="str">
        <f t="shared" ref="F119:F121" si="12">"This product has a "&amp;O119*100&amp;"% contribution charge. "</f>
        <v xml:space="preserve">This product has a 3.5% contribution charge. </v>
      </c>
      <c r="G119" s="9"/>
      <c r="H119" s="9"/>
      <c r="I119" s="9"/>
      <c r="M119" s="9"/>
      <c r="N119" s="9"/>
      <c r="O119" s="12">
        <v>3.5000000000000003E-2</v>
      </c>
    </row>
    <row r="120" spans="1:24" x14ac:dyDescent="0.25">
      <c r="B120" t="s">
        <v>211</v>
      </c>
      <c r="C120" s="3">
        <v>0.01</v>
      </c>
      <c r="D120" s="3">
        <v>1.4500000000000001E-2</v>
      </c>
      <c r="E120" s="30" t="str">
        <f>IF(D120=0,C120,"From "&amp;TEXT(ROUND(C120*100,2),"#0.#0")&amp;"% to "&amp;TEXT(ROUND((D120+C120)*100,2),"#0.#0")&amp;"% depending on funds chosen. ")</f>
        <v xml:space="preserve">From 1.0% to 2.45% depending on funds chosen. </v>
      </c>
      <c r="F120" s="7" t="str">
        <f t="shared" si="12"/>
        <v xml:space="preserve">This product has a 2% contribution charge. </v>
      </c>
      <c r="G120" s="9"/>
      <c r="H120" s="9"/>
      <c r="I120" s="9"/>
      <c r="M120" s="9"/>
      <c r="N120" s="9"/>
      <c r="O120" s="12">
        <v>0.02</v>
      </c>
    </row>
    <row r="121" spans="1:24" x14ac:dyDescent="0.25">
      <c r="B121" t="s">
        <v>212</v>
      </c>
      <c r="C121" s="3">
        <v>0.01</v>
      </c>
      <c r="D121" s="3">
        <v>1.4500000000000001E-2</v>
      </c>
      <c r="E121" s="7" t="str">
        <f>IF(D121=0,C121,"From "&amp;TEXT(ROUND(C121*100,2),"#0.#0")&amp;"% to "&amp;TEXT(ROUND((D121+C121)*100,2),"#0.#0")&amp;"% depending on funds chosen. ")</f>
        <v xml:space="preserve">From 1.0% to 2.45% depending on funds chosen. </v>
      </c>
      <c r="F121" s="7" t="str">
        <f t="shared" si="12"/>
        <v xml:space="preserve">This product has a 0% contribution charge. </v>
      </c>
      <c r="G121" s="9"/>
      <c r="H121" s="9"/>
      <c r="I121" s="9"/>
      <c r="M121" s="9"/>
      <c r="N121" s="9"/>
      <c r="O121" s="12">
        <v>0</v>
      </c>
    </row>
    <row r="122" spans="1:24" x14ac:dyDescent="0.25">
      <c r="B122" t="s">
        <v>213</v>
      </c>
      <c r="C122" s="20">
        <v>9.4999999999999998E-3</v>
      </c>
      <c r="D122" s="20">
        <v>3.5000000000000001E-3</v>
      </c>
      <c r="E122" s="7" t="str">
        <f>IF(D122=0,C122,"From "&amp;TEXT(ROUND(C122*100,2),"#0.#0")&amp;"% to "&amp;TEXT(ROUND((D122+C122)*100,2),"#0.#0")&amp;"% depending on funds chosen. ")</f>
        <v xml:space="preserve">From 0.95% to 1.30% depending on funds chosen. </v>
      </c>
      <c r="F122" s="7"/>
      <c r="G122" s="31" t="s">
        <v>214</v>
      </c>
      <c r="H122" s="9"/>
      <c r="I122" s="9"/>
      <c r="M122" s="9"/>
      <c r="N122" s="9"/>
      <c r="O122" s="12"/>
    </row>
    <row r="123" spans="1:24" x14ac:dyDescent="0.25">
      <c r="B123" t="s">
        <v>215</v>
      </c>
      <c r="C123" s="20">
        <v>7.0000000000000001E-3</v>
      </c>
      <c r="D123" s="20">
        <v>3.5000000000000001E-3</v>
      </c>
      <c r="E123" s="7" t="str">
        <f t="shared" ref="E123:E127" si="13">IF(D123=0,C123,"From "&amp;TEXT(ROUND(C123*100,2),"#0.#0")&amp;"% to "&amp;TEXT(ROUND((D123+C123)*100,2),"#0.#0")&amp;"% depending on funds chosen. ")</f>
        <v xml:space="preserve">From 0.70% to 1.05% depending on funds chosen. </v>
      </c>
      <c r="F123" s="7"/>
      <c r="G123" s="31" t="s">
        <v>214</v>
      </c>
      <c r="H123" s="9"/>
      <c r="I123" s="9"/>
      <c r="M123" s="9"/>
      <c r="N123" s="9"/>
      <c r="O123" s="12"/>
    </row>
    <row r="124" spans="1:24" x14ac:dyDescent="0.25">
      <c r="B124" t="s">
        <v>216</v>
      </c>
      <c r="C124" s="20">
        <v>4.4999999999999997E-3</v>
      </c>
      <c r="D124" s="20">
        <v>3.5000000000000001E-3</v>
      </c>
      <c r="E124" s="7" t="str">
        <f t="shared" si="13"/>
        <v xml:space="preserve">From 0.45% to 0.80% depending on funds chosen. </v>
      </c>
      <c r="F124" s="7"/>
      <c r="G124" s="31" t="s">
        <v>214</v>
      </c>
      <c r="H124" s="9"/>
      <c r="I124" s="9"/>
      <c r="M124" s="9"/>
      <c r="N124" s="9"/>
      <c r="O124" s="12"/>
    </row>
    <row r="125" spans="1:24" x14ac:dyDescent="0.25">
      <c r="B125" t="s">
        <v>217</v>
      </c>
      <c r="C125" s="20">
        <v>3.0000000000000001E-3</v>
      </c>
      <c r="D125" s="20">
        <v>3.5000000000000001E-3</v>
      </c>
      <c r="E125" s="7" t="str">
        <f t="shared" si="13"/>
        <v xml:space="preserve">From 0.30% to 0.65% depending on funds chosen. </v>
      </c>
      <c r="F125" s="7"/>
      <c r="G125" s="31" t="s">
        <v>214</v>
      </c>
      <c r="H125" s="9"/>
      <c r="I125" s="9"/>
      <c r="M125" s="9"/>
      <c r="N125" s="9"/>
      <c r="O125" s="12"/>
    </row>
    <row r="126" spans="1:24" x14ac:dyDescent="0.25">
      <c r="B126" t="s">
        <v>218</v>
      </c>
      <c r="C126" s="20">
        <v>1.2E-2</v>
      </c>
      <c r="D126" s="20">
        <v>3.5000000000000001E-3</v>
      </c>
      <c r="E126" s="7" t="str">
        <f t="shared" si="13"/>
        <v xml:space="preserve">From 1.20% to 1.55% depending on funds chosen. </v>
      </c>
      <c r="F126" s="7"/>
      <c r="G126" s="31" t="s">
        <v>214</v>
      </c>
      <c r="H126" s="9"/>
      <c r="I126" s="9"/>
      <c r="M126" s="9"/>
      <c r="N126" s="9"/>
      <c r="O126" s="12"/>
    </row>
    <row r="127" spans="1:24" x14ac:dyDescent="0.25">
      <c r="B127" t="s">
        <v>219</v>
      </c>
      <c r="C127" s="20">
        <v>5.4999999999999997E-3</v>
      </c>
      <c r="D127" s="20">
        <v>3.5000000000000001E-3</v>
      </c>
      <c r="E127" s="7" t="str">
        <f t="shared" si="13"/>
        <v xml:space="preserve">From 0.55% to 0.90% depending on funds chosen. </v>
      </c>
      <c r="F127" s="7"/>
      <c r="G127" s="31" t="s">
        <v>214</v>
      </c>
      <c r="H127" s="9"/>
      <c r="I127" s="9"/>
      <c r="M127" s="9"/>
      <c r="N127" s="9"/>
      <c r="O127" s="12"/>
    </row>
    <row r="128" spans="1:24" ht="15.75" thickBot="1" x14ac:dyDescent="0.3">
      <c r="E128" s="17"/>
      <c r="F128" s="17"/>
      <c r="O128" s="25"/>
    </row>
    <row r="129" spans="1:18" s="27" customFormat="1" ht="13.5" thickBot="1" x14ac:dyDescent="0.25">
      <c r="A129" s="26" t="s">
        <v>220</v>
      </c>
      <c r="C129" s="28"/>
      <c r="D129" s="28"/>
      <c r="E129" s="28"/>
      <c r="F129" s="28"/>
      <c r="O129" s="29"/>
    </row>
    <row r="130" spans="1:18" ht="15.75" thickBot="1" x14ac:dyDescent="0.3">
      <c r="C130" s="17"/>
      <c r="D130" s="17"/>
      <c r="E130" s="17"/>
      <c r="F130" s="3"/>
      <c r="O130" s="25"/>
    </row>
    <row r="131" spans="1:18" ht="15.75" thickBot="1" x14ac:dyDescent="0.3">
      <c r="C131" s="17"/>
      <c r="D131" s="17"/>
      <c r="E131" s="247" t="s">
        <v>60</v>
      </c>
      <c r="F131" s="247"/>
      <c r="G131" s="247"/>
      <c r="H131" s="247"/>
      <c r="I131" s="247"/>
      <c r="M131" s="248" t="s">
        <v>220</v>
      </c>
      <c r="N131" s="249"/>
      <c r="O131" s="249"/>
      <c r="P131" s="249"/>
      <c r="Q131" s="250"/>
    </row>
    <row r="132" spans="1:18" x14ac:dyDescent="0.25">
      <c r="C132" s="17"/>
      <c r="D132" s="17"/>
      <c r="E132" s="2" t="s">
        <v>68</v>
      </c>
      <c r="F132" s="2" t="s">
        <v>69</v>
      </c>
      <c r="G132" s="2" t="s">
        <v>70</v>
      </c>
      <c r="H132" s="2" t="s">
        <v>71</v>
      </c>
      <c r="I132" s="2" t="s">
        <v>59</v>
      </c>
      <c r="M132" s="32">
        <v>0</v>
      </c>
      <c r="N132" s="33">
        <v>50000</v>
      </c>
      <c r="O132" s="34">
        <v>1000000</v>
      </c>
      <c r="P132" s="33">
        <v>3000000</v>
      </c>
      <c r="Q132" s="35">
        <v>5000000</v>
      </c>
    </row>
    <row r="133" spans="1:18" x14ac:dyDescent="0.25">
      <c r="A133" s="1">
        <v>2</v>
      </c>
      <c r="B133" s="36" t="s">
        <v>221</v>
      </c>
      <c r="C133" s="3">
        <f>HLOOKUP('PRSA Transfer Form'!$F$34,$M$132:$Q$137,$A133)</f>
        <v>1.8450000000000001E-2</v>
      </c>
      <c r="E133" s="3">
        <f>IF(D133=0,C133,"From "&amp;TEXT(ROUND(C133*100,2),"#0.#0")&amp;"% to "&amp;TEXT(ROUND((D133+C133)*100,2),"#0.#0")&amp;"% depending on funds chosen.")</f>
        <v>1.8450000000000001E-2</v>
      </c>
      <c r="F133" s="3" t="s">
        <v>222</v>
      </c>
      <c r="M133" s="37">
        <f>1.5%+(23%*1.5%)</f>
        <v>1.8450000000000001E-2</v>
      </c>
      <c r="N133" s="38">
        <f>1.5%+(23%*1.5%)</f>
        <v>1.8450000000000001E-2</v>
      </c>
      <c r="O133" s="38">
        <f>1.25%+(23%*1.25%)</f>
        <v>1.5375000000000002E-2</v>
      </c>
      <c r="P133" s="39">
        <f>1%+(23%*1%)</f>
        <v>1.23E-2</v>
      </c>
      <c r="Q133" s="40">
        <f>0.75%+(0.75%*23%)</f>
        <v>9.2250000000000006E-3</v>
      </c>
    </row>
    <row r="134" spans="1:18" x14ac:dyDescent="0.25">
      <c r="A134" s="1">
        <v>3</v>
      </c>
      <c r="B134" s="36" t="s">
        <v>223</v>
      </c>
      <c r="C134" s="3">
        <f>HLOOKUP('PRSA Transfer Form'!$F$34,$M$132:$Q$137,$A134)</f>
        <v>1.5375000000000002E-2</v>
      </c>
      <c r="E134" s="3">
        <f t="shared" ref="E134:E137" si="14">IF(D134=0,C134,"From "&amp;TEXT(ROUND(C134*100,2),"#0.#0")&amp;"% to "&amp;TEXT(ROUND((D134+C134)*100,2),"#0.#0")&amp;"% depending on funds chosen.")</f>
        <v>1.5375000000000002E-2</v>
      </c>
      <c r="F134" s="3" t="s">
        <v>222</v>
      </c>
      <c r="M134" s="37">
        <f>1.25%+(23%*1.25%)</f>
        <v>1.5375000000000002E-2</v>
      </c>
      <c r="N134" s="38">
        <f>1.25%+(23%*1.25%)</f>
        <v>1.5375000000000002E-2</v>
      </c>
      <c r="O134" s="38">
        <f>1%+(23%*1%)</f>
        <v>1.23E-2</v>
      </c>
      <c r="P134" s="38">
        <f>0.85%+(0.85%*23%)</f>
        <v>1.0455000000000001E-2</v>
      </c>
      <c r="Q134" s="40">
        <f>0.75%+(0.75%*23%)</f>
        <v>9.2250000000000006E-3</v>
      </c>
    </row>
    <row r="135" spans="1:18" x14ac:dyDescent="0.25">
      <c r="A135" s="1">
        <v>4</v>
      </c>
      <c r="B135" s="36" t="s">
        <v>224</v>
      </c>
      <c r="C135" s="3">
        <f>HLOOKUP('PRSA Transfer Form'!$F$34,$M$132:$Q$137,$A135)</f>
        <v>1.23E-2</v>
      </c>
      <c r="E135" s="3">
        <f t="shared" si="14"/>
        <v>1.23E-2</v>
      </c>
      <c r="F135" s="3" t="s">
        <v>222</v>
      </c>
      <c r="M135" s="37">
        <f>1%+(23%*1%)</f>
        <v>1.23E-2</v>
      </c>
      <c r="N135" s="38">
        <f>1%+(23%*1%)</f>
        <v>1.23E-2</v>
      </c>
      <c r="O135" s="38">
        <f>0.85%+(0.85%*23%)</f>
        <v>1.0455000000000001E-2</v>
      </c>
      <c r="P135" s="38">
        <f>0.75%+(0.75%*23%)</f>
        <v>9.2250000000000006E-3</v>
      </c>
      <c r="Q135" s="40">
        <f>0.5%+(0.5%*23%)</f>
        <v>6.1500000000000001E-3</v>
      </c>
    </row>
    <row r="136" spans="1:18" x14ac:dyDescent="0.25">
      <c r="A136" s="1">
        <v>5</v>
      </c>
      <c r="B136" s="36" t="s">
        <v>225</v>
      </c>
      <c r="C136" s="3">
        <f>HLOOKUP('PRSA Transfer Form'!$F$34,$M$132:$Q$137,$A136)</f>
        <v>0.02</v>
      </c>
      <c r="E136" s="3">
        <f t="shared" si="14"/>
        <v>0.02</v>
      </c>
      <c r="F136" s="3" t="s">
        <v>222</v>
      </c>
      <c r="M136" s="37">
        <v>0.02</v>
      </c>
      <c r="N136" s="38">
        <v>0.01</v>
      </c>
      <c r="O136" s="38">
        <v>0.01</v>
      </c>
      <c r="P136" s="38">
        <v>0.01</v>
      </c>
      <c r="Q136" s="40">
        <v>0.01</v>
      </c>
    </row>
    <row r="137" spans="1:18" ht="15.75" thickBot="1" x14ac:dyDescent="0.3">
      <c r="A137" s="1">
        <v>6</v>
      </c>
      <c r="B137" s="36" t="s">
        <v>226</v>
      </c>
      <c r="C137" s="3">
        <f>HLOOKUP('PRSA Transfer Form'!$F$34,$M$132:$Q$137,$A137)</f>
        <v>0.02</v>
      </c>
      <c r="E137" s="3">
        <f t="shared" si="14"/>
        <v>0.02</v>
      </c>
      <c r="F137" s="3" t="s">
        <v>222</v>
      </c>
      <c r="M137" s="41">
        <v>0.02</v>
      </c>
      <c r="N137" s="42">
        <v>0.01</v>
      </c>
      <c r="O137" s="42">
        <v>0.01</v>
      </c>
      <c r="P137" s="42">
        <v>0.01</v>
      </c>
      <c r="Q137" s="43">
        <v>0.01</v>
      </c>
    </row>
    <row r="138" spans="1:18" ht="15.75" thickBot="1" x14ac:dyDescent="0.3">
      <c r="E138" s="3"/>
      <c r="F138" s="3"/>
      <c r="O138"/>
    </row>
    <row r="139" spans="1:18" s="27" customFormat="1" ht="13.5" thickBot="1" x14ac:dyDescent="0.25">
      <c r="A139" s="26" t="s">
        <v>227</v>
      </c>
      <c r="C139" s="28"/>
      <c r="D139" s="28"/>
      <c r="E139" s="28"/>
      <c r="F139" s="28"/>
    </row>
    <row r="140" spans="1:18" s="45" customFormat="1" ht="13.5" thickBot="1" x14ac:dyDescent="0.25">
      <c r="A140" s="44"/>
      <c r="C140" s="46"/>
      <c r="D140" s="46"/>
      <c r="E140" s="46"/>
      <c r="F140" s="46"/>
      <c r="R140" s="47"/>
    </row>
    <row r="141" spans="1:18" ht="15.75" thickBot="1" x14ac:dyDescent="0.3">
      <c r="C141"/>
      <c r="D141"/>
      <c r="E141" s="247" t="s">
        <v>60</v>
      </c>
      <c r="F141" s="247"/>
      <c r="G141" s="247"/>
      <c r="H141" s="247"/>
      <c r="I141" s="247"/>
      <c r="M141" s="251" t="s">
        <v>227</v>
      </c>
      <c r="N141" s="252"/>
      <c r="O141" s="252"/>
      <c r="P141" s="252"/>
      <c r="Q141" s="252"/>
      <c r="R141" s="253"/>
    </row>
    <row r="142" spans="1:18" x14ac:dyDescent="0.25">
      <c r="C142"/>
      <c r="D142"/>
      <c r="E142" s="2" t="s">
        <v>68</v>
      </c>
      <c r="F142" s="2" t="s">
        <v>69</v>
      </c>
      <c r="G142" s="2" t="s">
        <v>70</v>
      </c>
      <c r="H142" s="2" t="s">
        <v>71</v>
      </c>
      <c r="I142" s="2" t="s">
        <v>59</v>
      </c>
      <c r="M142" s="32">
        <v>0</v>
      </c>
      <c r="N142" s="33">
        <v>50000</v>
      </c>
      <c r="O142" s="33">
        <v>100000</v>
      </c>
      <c r="P142" s="33">
        <v>200000</v>
      </c>
      <c r="Q142" s="33">
        <v>500000</v>
      </c>
      <c r="R142" s="48">
        <v>1000000</v>
      </c>
    </row>
    <row r="143" spans="1:18" x14ac:dyDescent="0.25">
      <c r="A143" s="1">
        <v>2</v>
      </c>
      <c r="B143" s="49" t="s">
        <v>228</v>
      </c>
      <c r="C143" s="3">
        <f>HLOOKUP('PRSA Transfer Form'!$F$34,$M$142:$R$148,$A143)</f>
        <v>2.5000000000000001E-2</v>
      </c>
      <c r="E143" s="3" t="str">
        <f>"Based on the transfer value, ITC apply a charge of "&amp;C143*100&amp;"% inclusive of any trail.  "</f>
        <v xml:space="preserve">Based on the transfer value, ITC apply a charge of 2.5% inclusive of any trail.  </v>
      </c>
      <c r="F143" s="3" t="s">
        <v>229</v>
      </c>
      <c r="M143" s="37">
        <v>2.5000000000000001E-2</v>
      </c>
      <c r="N143" s="38">
        <v>1.7500000000000002E-2</v>
      </c>
      <c r="O143" s="38">
        <v>1.2500000000000001E-2</v>
      </c>
      <c r="P143" s="38">
        <v>1.2500000000000001E-2</v>
      </c>
      <c r="Q143" s="38">
        <v>8.5000000000000006E-3</v>
      </c>
      <c r="R143" s="40">
        <v>8.0000000000000002E-3</v>
      </c>
    </row>
    <row r="144" spans="1:18" x14ac:dyDescent="0.25">
      <c r="A144" s="1">
        <v>3</v>
      </c>
      <c r="B144" s="49" t="s">
        <v>230</v>
      </c>
      <c r="C144" s="3">
        <f>HLOOKUP('PRSA Transfer Form'!$F$34,$M$142:$R$148,$A144)</f>
        <v>2.5000000000000001E-2</v>
      </c>
      <c r="E144" s="3" t="str">
        <f t="shared" ref="E144:E148" si="15">"Based on the transfer value, ITC apply a charge of "&amp;C144*100&amp;"% inclusive of any trail.  "</f>
        <v xml:space="preserve">Based on the transfer value, ITC apply a charge of 2.5% inclusive of any trail.  </v>
      </c>
      <c r="F144" s="3" t="s">
        <v>229</v>
      </c>
      <c r="M144" s="50">
        <v>2.5000000000000001E-2</v>
      </c>
      <c r="N144" s="51">
        <v>1.6E-2</v>
      </c>
      <c r="O144" s="38">
        <v>1.0999999999999999E-2</v>
      </c>
      <c r="P144" s="51">
        <v>1.0999999999999999E-2</v>
      </c>
      <c r="Q144" s="51">
        <v>7.0000000000000001E-3</v>
      </c>
      <c r="R144" s="52">
        <v>6.4999999999999997E-3</v>
      </c>
    </row>
    <row r="145" spans="1:18" x14ac:dyDescent="0.25">
      <c r="A145" s="1">
        <v>4</v>
      </c>
      <c r="B145" s="49" t="s">
        <v>231</v>
      </c>
      <c r="C145" s="3">
        <f>HLOOKUP('PRSA Transfer Form'!$F$34,$M$142:$R$148,$A145)</f>
        <v>2.5000000000000001E-2</v>
      </c>
      <c r="E145" s="3" t="str">
        <f t="shared" si="15"/>
        <v xml:space="preserve">Based on the transfer value, ITC apply a charge of 2.5% inclusive of any trail.  </v>
      </c>
      <c r="F145" s="3" t="s">
        <v>229</v>
      </c>
      <c r="M145" s="50">
        <v>2.5000000000000001E-2</v>
      </c>
      <c r="N145" s="51">
        <v>1.35E-2</v>
      </c>
      <c r="O145" s="38">
        <v>8.5000000000000006E-3</v>
      </c>
      <c r="P145" s="51">
        <v>8.5000000000000006E-3</v>
      </c>
      <c r="Q145" s="51">
        <v>4.4999999999999997E-3</v>
      </c>
      <c r="R145" s="52">
        <v>4.0000000000000001E-3</v>
      </c>
    </row>
    <row r="146" spans="1:18" x14ac:dyDescent="0.25">
      <c r="A146" s="1">
        <v>5</v>
      </c>
      <c r="B146" s="49" t="s">
        <v>232</v>
      </c>
      <c r="C146" s="3">
        <f>HLOOKUP('PRSA Transfer Form'!$F$34,$M$142:$R$148,$A146)</f>
        <v>3.5000000000000003E-2</v>
      </c>
      <c r="E146" s="3" t="str">
        <f t="shared" si="15"/>
        <v xml:space="preserve">Based on the transfer value, ITC apply a charge of 3.5% inclusive of any trail.  </v>
      </c>
      <c r="F146" s="3" t="s">
        <v>229</v>
      </c>
      <c r="M146" s="50">
        <v>3.5000000000000003E-2</v>
      </c>
      <c r="N146" s="53">
        <v>2.3E-2</v>
      </c>
      <c r="O146" s="53">
        <v>1.7999999999999999E-2</v>
      </c>
      <c r="P146" s="53">
        <v>1.4999999999999999E-2</v>
      </c>
      <c r="Q146" s="53">
        <v>1.4999999999999999E-2</v>
      </c>
      <c r="R146" s="54">
        <v>1.4999999999999999E-2</v>
      </c>
    </row>
    <row r="147" spans="1:18" x14ac:dyDescent="0.25">
      <c r="A147" s="1">
        <v>6</v>
      </c>
      <c r="B147" s="49" t="s">
        <v>233</v>
      </c>
      <c r="C147" s="3">
        <f>HLOOKUP('PRSA Transfer Form'!$F$34,$M$142:$R$148,$A147)</f>
        <v>3.2500000000000001E-2</v>
      </c>
      <c r="E147" s="3" t="str">
        <f t="shared" si="15"/>
        <v xml:space="preserve">Based on the transfer value, ITC apply a charge of 3.25% inclusive of any trail.  </v>
      </c>
      <c r="F147" s="3" t="s">
        <v>229</v>
      </c>
      <c r="M147" s="55">
        <v>3.2500000000000001E-2</v>
      </c>
      <c r="N147" s="51">
        <v>2.0500000000000001E-2</v>
      </c>
      <c r="O147" s="51">
        <v>1.55E-2</v>
      </c>
      <c r="P147" s="53">
        <v>1.2500000000000001E-2</v>
      </c>
      <c r="Q147" s="51">
        <v>1.2500000000000001E-2</v>
      </c>
      <c r="R147" s="52">
        <v>1.2500000000000001E-2</v>
      </c>
    </row>
    <row r="148" spans="1:18" ht="15.75" thickBot="1" x14ac:dyDescent="0.3">
      <c r="A148" s="1">
        <v>7</v>
      </c>
      <c r="B148" s="49" t="s">
        <v>234</v>
      </c>
      <c r="C148" s="3">
        <f>HLOOKUP('PRSA Transfer Form'!$F$34,$M$142:$R$148,$A148)</f>
        <v>0.03</v>
      </c>
      <c r="E148" s="3" t="str">
        <f t="shared" si="15"/>
        <v xml:space="preserve">Based on the transfer value, ITC apply a charge of 3% inclusive of any trail.  </v>
      </c>
      <c r="F148" s="3" t="s">
        <v>229</v>
      </c>
      <c r="M148" s="56">
        <v>0.03</v>
      </c>
      <c r="N148" s="57">
        <v>1.7999999999999999E-2</v>
      </c>
      <c r="O148" s="57">
        <v>1.2999999999999999E-2</v>
      </c>
      <c r="P148" s="58">
        <v>0.01</v>
      </c>
      <c r="Q148" s="57">
        <v>0.01</v>
      </c>
      <c r="R148" s="59">
        <v>0.01</v>
      </c>
    </row>
    <row r="149" spans="1:18" ht="15.75" thickBot="1" x14ac:dyDescent="0.3">
      <c r="C149"/>
      <c r="D149"/>
    </row>
    <row r="150" spans="1:18" s="27" customFormat="1" ht="13.5" thickBot="1" x14ac:dyDescent="0.25">
      <c r="A150" s="26" t="s">
        <v>235</v>
      </c>
      <c r="O150" s="29"/>
    </row>
    <row r="151" spans="1:18" ht="15.75" thickBot="1" x14ac:dyDescent="0.3">
      <c r="C151"/>
      <c r="D151"/>
    </row>
    <row r="152" spans="1:18" ht="15.75" thickBot="1" x14ac:dyDescent="0.3">
      <c r="C152"/>
      <c r="D152"/>
      <c r="E152" s="247" t="s">
        <v>60</v>
      </c>
      <c r="F152" s="247"/>
      <c r="G152" s="247"/>
      <c r="H152" s="247"/>
      <c r="I152" s="247"/>
      <c r="M152" s="248" t="s">
        <v>235</v>
      </c>
      <c r="N152" s="249"/>
      <c r="O152" s="249"/>
      <c r="P152" s="250"/>
    </row>
    <row r="153" spans="1:18" x14ac:dyDescent="0.25">
      <c r="C153"/>
      <c r="D153"/>
      <c r="E153" s="2" t="s">
        <v>68</v>
      </c>
      <c r="F153" s="2" t="s">
        <v>69</v>
      </c>
      <c r="G153" s="2" t="s">
        <v>70</v>
      </c>
      <c r="H153" s="2" t="s">
        <v>71</v>
      </c>
      <c r="I153" s="2" t="s">
        <v>59</v>
      </c>
      <c r="M153" s="32">
        <v>0</v>
      </c>
      <c r="N153" s="33">
        <v>1000000</v>
      </c>
      <c r="O153" s="33">
        <v>1500000</v>
      </c>
      <c r="P153" s="48">
        <v>3000000</v>
      </c>
    </row>
    <row r="154" spans="1:18" x14ac:dyDescent="0.25">
      <c r="A154" s="1">
        <v>2</v>
      </c>
      <c r="B154" s="61" t="s">
        <v>236</v>
      </c>
      <c r="C154" s="3">
        <f>HLOOKUP('PRSA Transfer Form'!$F$34,$M$153:$P$157,$A154)</f>
        <v>1.2500000000000001E-2</v>
      </c>
      <c r="D154" s="62"/>
      <c r="E154" s="3">
        <f t="shared" ref="E154:E157" si="16">IF(D154=0,C154,"From "&amp;TEXT(ROUND(C154*100,2),"#0.#0")&amp;"% to "&amp;TEXT(ROUND((D154+C154)*100,2),"#0.#0")&amp;"% depending on funds chosen.")</f>
        <v>1.2500000000000001E-2</v>
      </c>
      <c r="F154" s="3" t="s">
        <v>237</v>
      </c>
      <c r="M154" s="37">
        <v>1.2500000000000001E-2</v>
      </c>
      <c r="N154" s="38">
        <v>0.01</v>
      </c>
      <c r="O154" s="38">
        <v>7.4999999999999997E-3</v>
      </c>
      <c r="P154" s="40">
        <v>6.0000000000000001E-3</v>
      </c>
    </row>
    <row r="155" spans="1:18" x14ac:dyDescent="0.25">
      <c r="A155" s="1">
        <v>3</v>
      </c>
      <c r="B155" s="61" t="s">
        <v>238</v>
      </c>
      <c r="C155" s="3">
        <f>HLOOKUP('PRSA Transfer Form'!$F$34,$M$153:$P$157,$A155)</f>
        <v>0.01</v>
      </c>
      <c r="E155" s="3">
        <f t="shared" si="16"/>
        <v>0.01</v>
      </c>
      <c r="F155" s="3" t="s">
        <v>237</v>
      </c>
      <c r="M155" s="50">
        <v>0.01</v>
      </c>
      <c r="N155" s="51">
        <v>7.4999999999999997E-3</v>
      </c>
      <c r="O155" s="38">
        <v>5.0000000000000001E-3</v>
      </c>
      <c r="P155" s="52">
        <v>3.5000000000000001E-3</v>
      </c>
    </row>
    <row r="156" spans="1:18" x14ac:dyDescent="0.25">
      <c r="A156" s="1">
        <v>4</v>
      </c>
      <c r="B156" s="61" t="s">
        <v>239</v>
      </c>
      <c r="C156" s="3">
        <f>HLOOKUP('PRSA Transfer Form'!$F$34,$M$153:$P$157,$A156)</f>
        <v>1E-4</v>
      </c>
      <c r="E156" s="3">
        <f t="shared" si="16"/>
        <v>1E-4</v>
      </c>
      <c r="F156" s="3" t="s">
        <v>237</v>
      </c>
      <c r="M156" s="50">
        <v>1E-4</v>
      </c>
      <c r="N156" s="51">
        <v>1E-4</v>
      </c>
      <c r="O156" s="38">
        <v>1E-4</v>
      </c>
      <c r="P156" s="52">
        <v>1E-4</v>
      </c>
    </row>
    <row r="157" spans="1:18" x14ac:dyDescent="0.25">
      <c r="A157" s="1">
        <v>5</v>
      </c>
      <c r="B157" s="61" t="s">
        <v>240</v>
      </c>
      <c r="C157" s="3">
        <f>HLOOKUP('PRSA Transfer Form'!$F$34,$M$153:$P$157,$A157)</f>
        <v>6.4999999999999997E-3</v>
      </c>
      <c r="E157" s="3">
        <f t="shared" si="16"/>
        <v>6.4999999999999997E-3</v>
      </c>
      <c r="F157" s="3" t="s">
        <v>237</v>
      </c>
      <c r="M157" s="37">
        <v>6.4999999999999997E-3</v>
      </c>
      <c r="N157" s="38">
        <v>6.4999999999999997E-3</v>
      </c>
      <c r="O157" s="38">
        <v>5.0000000000000001E-3</v>
      </c>
      <c r="P157" s="40">
        <v>3.5000000000000001E-3</v>
      </c>
    </row>
    <row r="158" spans="1:18" ht="15.75" thickBot="1" x14ac:dyDescent="0.3">
      <c r="C158"/>
      <c r="D158"/>
      <c r="O158"/>
    </row>
    <row r="159" spans="1:18" s="27" customFormat="1" ht="13.5" thickBot="1" x14ac:dyDescent="0.25">
      <c r="A159" s="26" t="s">
        <v>241</v>
      </c>
      <c r="O159" s="29"/>
    </row>
    <row r="160" spans="1:18" ht="15.75" thickBot="1" x14ac:dyDescent="0.3">
      <c r="C160"/>
      <c r="D160"/>
      <c r="O160"/>
    </row>
    <row r="161" spans="1:19" ht="15.75" thickBot="1" x14ac:dyDescent="0.3">
      <c r="C161"/>
      <c r="D161"/>
      <c r="E161" s="247" t="s">
        <v>60</v>
      </c>
      <c r="F161" s="247"/>
      <c r="G161" s="247"/>
      <c r="H161" s="247"/>
      <c r="I161" s="247"/>
      <c r="M161" s="251" t="s">
        <v>241</v>
      </c>
      <c r="N161" s="252"/>
      <c r="O161" s="252"/>
      <c r="P161" s="252"/>
      <c r="Q161" s="252"/>
      <c r="R161" s="253"/>
    </row>
    <row r="162" spans="1:19" x14ac:dyDescent="0.25">
      <c r="C162"/>
      <c r="D162"/>
      <c r="E162" s="2" t="s">
        <v>68</v>
      </c>
      <c r="F162" s="2" t="s">
        <v>69</v>
      </c>
      <c r="G162" s="2" t="s">
        <v>70</v>
      </c>
      <c r="H162" s="2" t="s">
        <v>71</v>
      </c>
      <c r="I162" s="2" t="s">
        <v>59</v>
      </c>
      <c r="M162" s="32">
        <v>0</v>
      </c>
      <c r="N162" s="32">
        <v>25000</v>
      </c>
      <c r="O162" s="32">
        <v>100000</v>
      </c>
      <c r="P162" s="32">
        <v>500000</v>
      </c>
      <c r="Q162" s="32">
        <v>2000000</v>
      </c>
      <c r="R162" s="32">
        <v>5000000</v>
      </c>
    </row>
    <row r="163" spans="1:19" x14ac:dyDescent="0.25">
      <c r="A163" s="1">
        <v>2</v>
      </c>
      <c r="B163" s="49" t="s">
        <v>242</v>
      </c>
      <c r="C163" s="3">
        <f>HLOOKUP('PRSA Transfer Form'!$F$34,$M$162:$R$163,$A163)</f>
        <v>2.5000000000000001E-2</v>
      </c>
      <c r="E163" s="3">
        <f t="shared" ref="E163" si="17">IF(D163=0,C163,"From "&amp;TEXT(ROUND(C163*100,2),"#0.#0")&amp;"% to "&amp;TEXT(ROUND((D163+C163)*100,2),"#0.#0")&amp;"% depending on funds chosen.")</f>
        <v>2.5000000000000001E-2</v>
      </c>
      <c r="F163" s="3" t="s">
        <v>243</v>
      </c>
      <c r="M163" s="37">
        <v>2.5000000000000001E-2</v>
      </c>
      <c r="N163" s="37">
        <v>1.4999999999999999E-2</v>
      </c>
      <c r="O163" s="37">
        <v>0.01</v>
      </c>
      <c r="P163" s="37">
        <v>5.0000000000000001E-3</v>
      </c>
      <c r="Q163" s="37">
        <v>4.0000000000000001E-3</v>
      </c>
      <c r="R163" s="37">
        <v>2.5000000000000001E-3</v>
      </c>
    </row>
    <row r="164" spans="1:19" ht="15.75" thickBot="1" x14ac:dyDescent="0.3">
      <c r="C164"/>
      <c r="D164"/>
      <c r="O164"/>
    </row>
    <row r="165" spans="1:19" s="27" customFormat="1" ht="13.5" thickBot="1" x14ac:dyDescent="0.25">
      <c r="A165" s="26" t="s">
        <v>244</v>
      </c>
      <c r="O165" s="29"/>
    </row>
    <row r="166" spans="1:19" x14ac:dyDescent="0.25">
      <c r="C166"/>
      <c r="D166"/>
      <c r="O166"/>
    </row>
    <row r="167" spans="1:19" ht="15.75" thickBot="1" x14ac:dyDescent="0.3">
      <c r="C167"/>
      <c r="D167"/>
      <c r="E167" s="247" t="s">
        <v>60</v>
      </c>
      <c r="F167" s="247"/>
      <c r="G167" s="247"/>
      <c r="H167" s="247"/>
      <c r="I167" s="247"/>
      <c r="M167" s="254" t="s">
        <v>244</v>
      </c>
      <c r="N167" s="255"/>
      <c r="O167" s="255"/>
      <c r="P167" s="255"/>
      <c r="Q167" s="255"/>
    </row>
    <row r="168" spans="1:19" x14ac:dyDescent="0.25">
      <c r="C168"/>
      <c r="D168"/>
      <c r="E168" s="2" t="s">
        <v>68</v>
      </c>
      <c r="F168" s="2" t="s">
        <v>69</v>
      </c>
      <c r="G168" s="2" t="s">
        <v>70</v>
      </c>
      <c r="H168" s="2" t="s">
        <v>71</v>
      </c>
      <c r="I168" s="2" t="s">
        <v>59</v>
      </c>
      <c r="M168" s="32">
        <v>0</v>
      </c>
      <c r="N168" s="33">
        <v>50000</v>
      </c>
      <c r="O168" s="33">
        <v>250000</v>
      </c>
      <c r="P168" s="33">
        <v>500000</v>
      </c>
      <c r="Q168" s="48">
        <v>1500000</v>
      </c>
    </row>
    <row r="169" spans="1:19" x14ac:dyDescent="0.25">
      <c r="A169" s="1">
        <v>2</v>
      </c>
      <c r="B169" s="61" t="s">
        <v>245</v>
      </c>
      <c r="C169" s="3">
        <f>HLOOKUP('PRSA Transfer Form'!$F$34,$M$168:$Q$169,$A169)</f>
        <v>2.5000000000000001E-2</v>
      </c>
      <c r="E169" s="3">
        <f t="shared" ref="E169" si="18">IF(D169=0,C169,"From "&amp;TEXT(ROUND(C169*100,2),"#0.#0")&amp;"% to "&amp;TEXT(ROUND((D169+C169)*100,2),"#0.#0")&amp;"% depending on funds chosen.")</f>
        <v>2.5000000000000001E-2</v>
      </c>
      <c r="F169" s="3" t="s">
        <v>237</v>
      </c>
      <c r="M169" s="37">
        <v>2.5000000000000001E-2</v>
      </c>
      <c r="N169" s="38">
        <v>1.2500000000000001E-2</v>
      </c>
      <c r="O169" s="38">
        <v>0.01</v>
      </c>
      <c r="P169" s="38">
        <v>6.0000000000000001E-3</v>
      </c>
      <c r="Q169" s="40">
        <v>5.0000000000000001E-3</v>
      </c>
    </row>
    <row r="170" spans="1:19" ht="15.75" thickBot="1" x14ac:dyDescent="0.3">
      <c r="C170"/>
      <c r="D170"/>
      <c r="O170"/>
    </row>
    <row r="171" spans="1:19" s="27" customFormat="1" ht="13.5" thickBot="1" x14ac:dyDescent="0.25">
      <c r="A171" s="26" t="s">
        <v>246</v>
      </c>
      <c r="O171" s="29"/>
    </row>
    <row r="172" spans="1:19" x14ac:dyDescent="0.25">
      <c r="C172"/>
      <c r="D172"/>
      <c r="E172" s="247" t="s">
        <v>60</v>
      </c>
      <c r="F172" s="247"/>
      <c r="G172" s="247"/>
      <c r="H172" s="247"/>
      <c r="I172" s="247"/>
      <c r="M172" s="256" t="s">
        <v>246</v>
      </c>
      <c r="N172" s="257"/>
      <c r="O172" s="257"/>
      <c r="P172" s="257"/>
      <c r="Q172" s="257"/>
      <c r="R172" s="257"/>
      <c r="S172" s="257"/>
    </row>
    <row r="173" spans="1:19" x14ac:dyDescent="0.25">
      <c r="C173"/>
      <c r="D173"/>
      <c r="E173" s="2" t="s">
        <v>68</v>
      </c>
      <c r="F173" s="2" t="s">
        <v>69</v>
      </c>
      <c r="G173" s="2" t="s">
        <v>70</v>
      </c>
      <c r="H173" s="2" t="s">
        <v>71</v>
      </c>
      <c r="I173" s="2" t="s">
        <v>59</v>
      </c>
      <c r="M173" s="63">
        <v>0</v>
      </c>
      <c r="N173" s="63">
        <v>100000</v>
      </c>
      <c r="O173" s="63">
        <v>250000</v>
      </c>
      <c r="P173" s="63">
        <v>500000</v>
      </c>
      <c r="Q173" s="63">
        <v>1000000</v>
      </c>
      <c r="R173" s="63">
        <v>2000000</v>
      </c>
      <c r="S173" s="63">
        <v>5000000</v>
      </c>
    </row>
    <row r="174" spans="1:19" x14ac:dyDescent="0.25">
      <c r="A174" s="1">
        <v>2</v>
      </c>
      <c r="B174" s="49" t="s">
        <v>247</v>
      </c>
      <c r="C174" s="3">
        <f>HLOOKUP('PRSA Transfer Form'!$F$34,$M$173:$S$180,$A174)</f>
        <v>1.2500000000000001E-2</v>
      </c>
      <c r="E174" s="3">
        <f t="shared" ref="E174:E180" si="19">IF(D174=0,C174,"From "&amp;TEXT(ROUND(C174*100,2),"#0.#0")&amp;"% to "&amp;TEXT(ROUND((D174+C174)*100,2),"#0.#0")&amp;"% depending on funds chosen.")</f>
        <v>1.2500000000000001E-2</v>
      </c>
      <c r="F174" s="3" t="s">
        <v>248</v>
      </c>
      <c r="M174" s="38">
        <v>1.2500000000000001E-2</v>
      </c>
      <c r="N174" s="38">
        <v>8.0000000000000002E-3</v>
      </c>
      <c r="O174" s="38">
        <v>8.0000000000000002E-3</v>
      </c>
      <c r="P174" s="38">
        <v>6.4999999999999997E-3</v>
      </c>
      <c r="Q174" s="38">
        <v>5.0000000000000001E-3</v>
      </c>
      <c r="R174" s="38">
        <v>5.0000000000000001E-3</v>
      </c>
      <c r="S174" s="38">
        <v>5.0000000000000001E-3</v>
      </c>
    </row>
    <row r="175" spans="1:19" x14ac:dyDescent="0.25">
      <c r="A175" s="1">
        <v>3</v>
      </c>
      <c r="B175" s="49" t="s">
        <v>249</v>
      </c>
      <c r="C175" s="3">
        <f>HLOOKUP('PRSA Transfer Form'!$F$34,$M$173:$S$180,$A175)</f>
        <v>1.4999999999999999E-2</v>
      </c>
      <c r="E175" s="3">
        <f t="shared" si="19"/>
        <v>1.4999999999999999E-2</v>
      </c>
      <c r="F175" s="3" t="s">
        <v>248</v>
      </c>
      <c r="M175" s="53">
        <v>1.4999999999999999E-2</v>
      </c>
      <c r="N175" s="51">
        <v>1.0999999999999999E-2</v>
      </c>
      <c r="O175" s="51">
        <v>1.0999999999999999E-2</v>
      </c>
      <c r="P175" s="38">
        <v>8.9999999999999993E-3</v>
      </c>
      <c r="Q175" s="51">
        <v>7.4999999999999997E-3</v>
      </c>
      <c r="R175" s="51">
        <v>7.4999999999999997E-3</v>
      </c>
      <c r="S175" s="51">
        <v>7.4999999999999997E-3</v>
      </c>
    </row>
    <row r="176" spans="1:19" x14ac:dyDescent="0.25">
      <c r="A176" s="1">
        <v>4</v>
      </c>
      <c r="B176" s="49" t="s">
        <v>250</v>
      </c>
      <c r="C176" s="3">
        <f>HLOOKUP('PRSA Transfer Form'!$F$34,$M$173:$S$180,$A176)</f>
        <v>0.03</v>
      </c>
      <c r="E176" s="3">
        <f t="shared" si="19"/>
        <v>0.03</v>
      </c>
      <c r="F176" s="3" t="s">
        <v>248</v>
      </c>
      <c r="M176" s="53">
        <v>0.03</v>
      </c>
      <c r="N176" s="51">
        <v>0.03</v>
      </c>
      <c r="O176" s="51">
        <v>1.4999999999999999E-2</v>
      </c>
      <c r="P176" s="38">
        <v>1.4999999999999999E-2</v>
      </c>
      <c r="Q176" s="51">
        <v>1.4999999999999999E-2</v>
      </c>
      <c r="R176" s="51">
        <v>1.2500000000000001E-2</v>
      </c>
      <c r="S176" s="51">
        <v>0.01</v>
      </c>
    </row>
    <row r="177" spans="1:19" x14ac:dyDescent="0.25">
      <c r="A177" s="1">
        <v>5</v>
      </c>
      <c r="B177" s="49" t="s">
        <v>251</v>
      </c>
      <c r="C177" s="3">
        <f>HLOOKUP('PRSA Transfer Form'!$F$34,$M$173:$S$180,$A177)</f>
        <v>1.2500000000000001E-2</v>
      </c>
      <c r="E177" s="3">
        <f t="shared" si="19"/>
        <v>1.2500000000000001E-2</v>
      </c>
      <c r="F177" s="3" t="s">
        <v>248</v>
      </c>
      <c r="M177" s="38">
        <v>1.2500000000000001E-2</v>
      </c>
      <c r="N177" s="38">
        <v>0.01</v>
      </c>
      <c r="O177" s="38">
        <v>0.01</v>
      </c>
      <c r="P177" s="38">
        <v>8.9999999999999993E-3</v>
      </c>
      <c r="Q177" s="38">
        <v>8.9999999999999993E-3</v>
      </c>
      <c r="R177" s="38">
        <v>8.9999999999999993E-3</v>
      </c>
      <c r="S177" s="38">
        <v>8.9999999999999993E-3</v>
      </c>
    </row>
    <row r="178" spans="1:19" x14ac:dyDescent="0.25">
      <c r="A178" s="1">
        <v>6</v>
      </c>
      <c r="B178" s="49" t="s">
        <v>252</v>
      </c>
      <c r="C178" s="3">
        <f>HLOOKUP('PRSA Transfer Form'!$F$34,$M$173:$S$180,$A178)</f>
        <v>1.7500000000000002E-2</v>
      </c>
      <c r="E178" s="3">
        <f t="shared" si="19"/>
        <v>1.7500000000000002E-2</v>
      </c>
      <c r="F178" s="3" t="s">
        <v>248</v>
      </c>
      <c r="M178" s="38">
        <v>1.7500000000000002E-2</v>
      </c>
      <c r="N178" s="38">
        <v>1.2500000000000001E-2</v>
      </c>
      <c r="O178" s="38">
        <v>1.2500000000000001E-2</v>
      </c>
      <c r="P178" s="38">
        <v>1.0999999999999999E-2</v>
      </c>
      <c r="Q178" s="38">
        <v>0.01</v>
      </c>
      <c r="R178" s="38">
        <v>0.01</v>
      </c>
      <c r="S178" s="38">
        <v>0.01</v>
      </c>
    </row>
    <row r="179" spans="1:19" x14ac:dyDescent="0.25">
      <c r="A179" s="1">
        <v>7</v>
      </c>
      <c r="B179" s="49" t="s">
        <v>253</v>
      </c>
      <c r="C179" s="3">
        <f>HLOOKUP('PRSA Transfer Form'!$F$34,$M$173:$S$180,$A179)</f>
        <v>0.03</v>
      </c>
      <c r="E179" s="3">
        <f t="shared" si="19"/>
        <v>0.03</v>
      </c>
      <c r="F179" s="3" t="s">
        <v>248</v>
      </c>
      <c r="M179" s="53">
        <v>0.03</v>
      </c>
      <c r="N179" s="51">
        <v>0.03</v>
      </c>
      <c r="O179" s="51">
        <v>1.4999999999999999E-2</v>
      </c>
      <c r="P179" s="38">
        <v>1.4999999999999999E-2</v>
      </c>
      <c r="Q179" s="51">
        <v>1.4999999999999999E-2</v>
      </c>
      <c r="R179" s="51">
        <v>1.2500000000000001E-2</v>
      </c>
      <c r="S179" s="51">
        <v>0.01</v>
      </c>
    </row>
    <row r="180" spans="1:19" x14ac:dyDescent="0.25">
      <c r="A180" s="1">
        <v>8</v>
      </c>
      <c r="B180" s="49" t="s">
        <v>254</v>
      </c>
      <c r="C180" s="3">
        <f>HLOOKUP('PRSA Transfer Form'!$F$34,$M$173:$S$180,$A180)</f>
        <v>2.5000000000000001E-3</v>
      </c>
      <c r="E180" s="3">
        <f t="shared" si="19"/>
        <v>2.5000000000000001E-3</v>
      </c>
      <c r="F180" s="3" t="s">
        <v>248</v>
      </c>
      <c r="M180" s="64">
        <v>2.5000000000000001E-3</v>
      </c>
      <c r="N180" s="64">
        <v>2.5000000000000001E-3</v>
      </c>
      <c r="O180" s="64">
        <v>2.5000000000000001E-3</v>
      </c>
      <c r="P180" s="64">
        <v>2.5000000000000001E-3</v>
      </c>
      <c r="Q180" s="64">
        <v>2.5000000000000001E-3</v>
      </c>
      <c r="R180" s="64">
        <v>2.5000000000000001E-3</v>
      </c>
      <c r="S180" s="64">
        <v>2.5000000000000001E-3</v>
      </c>
    </row>
    <row r="181" spans="1:19" ht="15.75" thickBot="1" x14ac:dyDescent="0.3"/>
    <row r="182" spans="1:19" s="27" customFormat="1" ht="13.5" thickBot="1" x14ac:dyDescent="0.25">
      <c r="A182" s="26" t="s">
        <v>255</v>
      </c>
      <c r="O182" s="29"/>
    </row>
    <row r="183" spans="1:19" x14ac:dyDescent="0.25">
      <c r="C183"/>
      <c r="D183"/>
      <c r="E183" s="247" t="s">
        <v>60</v>
      </c>
      <c r="F183" s="247"/>
      <c r="G183" s="247"/>
      <c r="H183" s="247"/>
      <c r="I183" s="247"/>
      <c r="O183"/>
    </row>
    <row r="184" spans="1:19" x14ac:dyDescent="0.25">
      <c r="C184"/>
      <c r="D184"/>
      <c r="E184" s="2" t="s">
        <v>68</v>
      </c>
      <c r="F184" s="159" t="s">
        <v>69</v>
      </c>
      <c r="G184" s="2" t="s">
        <v>70</v>
      </c>
      <c r="H184" s="2" t="s">
        <v>71</v>
      </c>
      <c r="I184" s="2" t="s">
        <v>59</v>
      </c>
      <c r="O184"/>
    </row>
    <row r="185" spans="1:19" x14ac:dyDescent="0.25">
      <c r="A185" s="1">
        <v>1</v>
      </c>
      <c r="B185" s="73" t="s">
        <v>256</v>
      </c>
      <c r="C185" s="3">
        <v>4.0000000000000001E-3</v>
      </c>
      <c r="D185" s="3">
        <v>1.6999999999999999E-3</v>
      </c>
      <c r="E185" s="3" t="str">
        <f t="shared" ref="E185:E194" si="20">IF(D185=0,C185,"From "&amp;TEXT(ROUND(C185*100,2),"#0.#0")&amp;"% to "&amp;TEXT(ROUND((D185+C185)*100,2),"#0.#0")&amp;"% depending on funds chosen.")</f>
        <v>From 0.40% to 0.57% depending on funds chosen.</v>
      </c>
      <c r="F185" s="160" t="s">
        <v>257</v>
      </c>
      <c r="O185"/>
    </row>
    <row r="186" spans="1:19" x14ac:dyDescent="0.25">
      <c r="A186" s="1">
        <v>2</v>
      </c>
      <c r="B186" s="73" t="s">
        <v>258</v>
      </c>
      <c r="C186" s="3">
        <v>5.0000000000000001E-3</v>
      </c>
      <c r="D186" s="3">
        <v>1.6999999999999999E-3</v>
      </c>
      <c r="E186" s="3" t="str">
        <f t="shared" si="20"/>
        <v>From 0.50% to 0.67% depending on funds chosen.</v>
      </c>
      <c r="F186" s="160" t="s">
        <v>257</v>
      </c>
      <c r="O186"/>
    </row>
    <row r="187" spans="1:19" x14ac:dyDescent="0.25">
      <c r="A187" s="1">
        <v>3</v>
      </c>
      <c r="B187" s="73" t="s">
        <v>259</v>
      </c>
      <c r="C187" s="3">
        <v>6.4999999999999997E-3</v>
      </c>
      <c r="D187" s="3">
        <v>1.6999999999999999E-3</v>
      </c>
      <c r="E187" s="3" t="str">
        <f t="shared" si="20"/>
        <v>From 0.65% to 0.82% depending on funds chosen.</v>
      </c>
      <c r="F187" s="160" t="s">
        <v>257</v>
      </c>
      <c r="O187"/>
    </row>
    <row r="188" spans="1:19" x14ac:dyDescent="0.25">
      <c r="A188" s="1">
        <v>4</v>
      </c>
      <c r="B188" s="73" t="s">
        <v>260</v>
      </c>
      <c r="C188" s="3">
        <v>7.4999999999999997E-3</v>
      </c>
      <c r="D188" s="3">
        <v>1.6999999999999999E-3</v>
      </c>
      <c r="E188" s="3" t="str">
        <f t="shared" si="20"/>
        <v>From 0.75% to 0.92% depending on funds chosen.</v>
      </c>
      <c r="F188" s="160" t="s">
        <v>257</v>
      </c>
      <c r="O188"/>
    </row>
    <row r="189" spans="1:19" x14ac:dyDescent="0.25">
      <c r="A189" s="1">
        <v>5</v>
      </c>
      <c r="B189" s="73" t="s">
        <v>261</v>
      </c>
      <c r="C189" s="3">
        <v>8.9999999999999993E-3</v>
      </c>
      <c r="D189" s="3">
        <v>1.6999999999999999E-3</v>
      </c>
      <c r="E189" s="3" t="str">
        <f t="shared" si="20"/>
        <v>From 0.90% to 1.07% depending on funds chosen.</v>
      </c>
      <c r="F189" s="160" t="s">
        <v>257</v>
      </c>
      <c r="O189"/>
    </row>
    <row r="190" spans="1:19" x14ac:dyDescent="0.25">
      <c r="A190" s="1">
        <v>6</v>
      </c>
      <c r="B190" s="73" t="s">
        <v>262</v>
      </c>
      <c r="C190" s="3">
        <v>0.01</v>
      </c>
      <c r="D190" s="3">
        <v>1.6999999999999999E-3</v>
      </c>
      <c r="E190" s="3" t="str">
        <f t="shared" si="20"/>
        <v>From 1.0% to 1.17% depending on funds chosen.</v>
      </c>
      <c r="F190" s="160" t="s">
        <v>257</v>
      </c>
      <c r="O190"/>
    </row>
    <row r="191" spans="1:19" x14ac:dyDescent="0.25">
      <c r="A191" s="1">
        <v>7</v>
      </c>
      <c r="B191" s="73" t="s">
        <v>263</v>
      </c>
      <c r="C191" s="3">
        <v>1.15E-2</v>
      </c>
      <c r="D191" s="3">
        <v>1.6999999999999999E-3</v>
      </c>
      <c r="E191" s="3" t="str">
        <f t="shared" si="20"/>
        <v>From 1.15% to 1.32% depending on funds chosen.</v>
      </c>
      <c r="F191" s="160" t="s">
        <v>257</v>
      </c>
      <c r="O191"/>
    </row>
    <row r="192" spans="1:19" x14ac:dyDescent="0.25">
      <c r="A192" s="1">
        <v>8</v>
      </c>
      <c r="B192" s="73" t="s">
        <v>264</v>
      </c>
      <c r="C192" s="3">
        <v>1.2500000000000001E-2</v>
      </c>
      <c r="D192" s="3">
        <v>1.6999999999999999E-3</v>
      </c>
      <c r="E192" s="3" t="str">
        <f t="shared" si="20"/>
        <v>From 1.25% to 1.42% depending on funds chosen.</v>
      </c>
      <c r="F192" s="160" t="s">
        <v>257</v>
      </c>
    </row>
    <row r="193" spans="1:6" x14ac:dyDescent="0.25">
      <c r="A193" s="1">
        <v>9</v>
      </c>
      <c r="B193" s="73" t="s">
        <v>265</v>
      </c>
      <c r="C193" s="3">
        <v>1.4E-2</v>
      </c>
      <c r="D193" s="3">
        <v>1.6999999999999999E-3</v>
      </c>
      <c r="E193" s="3" t="str">
        <f t="shared" si="20"/>
        <v>From 1.40% to 1.57% depending on funds chosen.</v>
      </c>
      <c r="F193" s="160" t="s">
        <v>257</v>
      </c>
    </row>
    <row r="194" spans="1:6" x14ac:dyDescent="0.25">
      <c r="A194" s="1">
        <v>10</v>
      </c>
      <c r="B194" s="73" t="s">
        <v>266</v>
      </c>
      <c r="C194" s="3">
        <v>1.4999999999999999E-2</v>
      </c>
      <c r="D194" s="3">
        <v>1.6999999999999999E-3</v>
      </c>
      <c r="E194" s="3" t="str">
        <f t="shared" si="20"/>
        <v>From 1.50% to 1.67% depending on funds chosen.</v>
      </c>
      <c r="F194" s="160" t="s">
        <v>257</v>
      </c>
    </row>
  </sheetData>
  <sheetProtection selectLockedCells="1" selectUnlockedCells="1"/>
  <mergeCells count="14">
    <mergeCell ref="E183:I183"/>
    <mergeCell ref="E152:I152"/>
    <mergeCell ref="M152:P152"/>
    <mergeCell ref="E2:I2"/>
    <mergeCell ref="E131:I131"/>
    <mergeCell ref="M131:Q131"/>
    <mergeCell ref="E141:I141"/>
    <mergeCell ref="M141:R141"/>
    <mergeCell ref="E161:I161"/>
    <mergeCell ref="M161:R161"/>
    <mergeCell ref="E167:I167"/>
    <mergeCell ref="M167:Q167"/>
    <mergeCell ref="E172:I172"/>
    <mergeCell ref="M172:S17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8E05-6DDC-4400-8248-8759BA192009}">
  <dimension ref="A1:Y139"/>
  <sheetViews>
    <sheetView workbookViewId="0">
      <selection activeCell="E5" sqref="E5"/>
    </sheetView>
  </sheetViews>
  <sheetFormatPr defaultColWidth="9.140625" defaultRowHeight="12.75" x14ac:dyDescent="0.2"/>
  <cols>
    <col min="1" max="1" width="9.140625" style="73"/>
    <col min="2" max="2" width="52.5703125" style="73" bestFit="1" customWidth="1"/>
    <col min="3" max="3" width="15.140625" style="73" customWidth="1"/>
    <col min="4" max="4" width="37.5703125" style="73" customWidth="1"/>
    <col min="5" max="5" width="10.42578125" style="73" customWidth="1"/>
    <col min="6" max="6" width="65.5703125" style="75" bestFit="1" customWidth="1"/>
    <col min="7" max="7" width="6.5703125" style="75" customWidth="1"/>
    <col min="8" max="8" width="7.42578125" style="75" customWidth="1"/>
    <col min="9" max="9" width="4.85546875" style="68" customWidth="1"/>
    <col min="10" max="10" width="40" style="73" customWidth="1"/>
    <col min="11" max="12" width="36.5703125" style="73" customWidth="1"/>
    <col min="13" max="13" width="43.140625" style="73" customWidth="1"/>
    <col min="14" max="15" width="36.5703125" style="73" customWidth="1"/>
    <col min="16" max="16" width="55" style="73" customWidth="1"/>
    <col min="17" max="17" width="36.5703125" style="73" customWidth="1"/>
    <col min="18" max="18" width="44.42578125" style="73" customWidth="1"/>
    <col min="19" max="20" width="41.5703125" style="73" customWidth="1"/>
    <col min="21" max="25" width="36.5703125" style="73" customWidth="1"/>
    <col min="26" max="16384" width="9.140625" style="73"/>
  </cols>
  <sheetData>
    <row r="1" spans="2:25" ht="13.5" thickBot="1" x14ac:dyDescent="0.25">
      <c r="F1" s="74">
        <f>'PRSA Transfer Form'!F31</f>
        <v>0</v>
      </c>
      <c r="G1" s="66" t="e">
        <f>MATCH(F1,J3:W3,0)</f>
        <v>#N/A</v>
      </c>
      <c r="I1" s="67"/>
    </row>
    <row r="2" spans="2:25" ht="13.5" thickBot="1" x14ac:dyDescent="0.25">
      <c r="F2" s="76">
        <f>'PRSA Transfer Form'!F32</f>
        <v>0</v>
      </c>
    </row>
    <row r="3" spans="2:25" ht="26.25" thickBot="1" x14ac:dyDescent="0.25">
      <c r="B3" s="77" t="s">
        <v>267</v>
      </c>
      <c r="C3" s="78" t="s">
        <v>268</v>
      </c>
      <c r="D3" s="78" t="s">
        <v>269</v>
      </c>
      <c r="E3" s="77" t="s">
        <v>270</v>
      </c>
      <c r="F3" s="79" t="s">
        <v>271</v>
      </c>
      <c r="G3" s="79"/>
      <c r="H3" s="79"/>
      <c r="I3" s="69"/>
      <c r="J3" s="70" t="s">
        <v>272</v>
      </c>
      <c r="K3" s="71" t="s">
        <v>273</v>
      </c>
      <c r="L3" s="71" t="s">
        <v>274</v>
      </c>
      <c r="M3" s="71" t="s">
        <v>220</v>
      </c>
      <c r="N3" s="71" t="s">
        <v>275</v>
      </c>
      <c r="O3" s="71" t="s">
        <v>276</v>
      </c>
      <c r="P3" s="71" t="s">
        <v>277</v>
      </c>
      <c r="Q3" s="71" t="s">
        <v>278</v>
      </c>
      <c r="R3" s="71" t="s">
        <v>279</v>
      </c>
      <c r="S3" s="71" t="s">
        <v>280</v>
      </c>
      <c r="T3" s="71" t="s">
        <v>255</v>
      </c>
      <c r="U3" s="71" t="s">
        <v>281</v>
      </c>
      <c r="V3" s="71" t="s">
        <v>282</v>
      </c>
      <c r="W3" s="72" t="s">
        <v>283</v>
      </c>
      <c r="Y3" s="77" t="s">
        <v>284</v>
      </c>
    </row>
    <row r="4" spans="2:25" x14ac:dyDescent="0.2">
      <c r="B4" s="80" t="s">
        <v>272</v>
      </c>
      <c r="C4" s="65" t="s">
        <v>285</v>
      </c>
      <c r="D4" s="65" t="s">
        <v>286</v>
      </c>
      <c r="E4" s="73" t="s">
        <v>287</v>
      </c>
      <c r="F4" s="75" t="e">
        <f ca="1">OFFSET($I$3,ROW(G4)-ROW($G$4)+1,$G$1)</f>
        <v>#N/A</v>
      </c>
      <c r="J4" s="73" t="s">
        <v>159</v>
      </c>
      <c r="K4" s="73" t="s">
        <v>209</v>
      </c>
      <c r="L4" s="73" t="s">
        <v>247</v>
      </c>
      <c r="M4" s="73" t="s">
        <v>221</v>
      </c>
      <c r="N4" s="73" t="s">
        <v>236</v>
      </c>
      <c r="O4" s="73" t="s">
        <v>228</v>
      </c>
      <c r="P4" s="73" t="s">
        <v>111</v>
      </c>
      <c r="Q4" s="73" t="s">
        <v>242</v>
      </c>
      <c r="R4" s="73" t="s">
        <v>101</v>
      </c>
      <c r="S4" s="73" t="s">
        <v>245</v>
      </c>
      <c r="T4" s="73" t="s">
        <v>256</v>
      </c>
      <c r="U4" t="s">
        <v>165</v>
      </c>
      <c r="V4" s="73" t="s">
        <v>73</v>
      </c>
      <c r="W4" s="73" t="s">
        <v>174</v>
      </c>
      <c r="Y4" s="73" t="s">
        <v>288</v>
      </c>
    </row>
    <row r="5" spans="2:25" x14ac:dyDescent="0.2">
      <c r="B5" s="80" t="s">
        <v>273</v>
      </c>
      <c r="C5" s="81" t="s">
        <v>287</v>
      </c>
      <c r="D5" s="81"/>
      <c r="E5" s="73" t="s">
        <v>285</v>
      </c>
      <c r="F5" s="75" t="e">
        <f t="shared" ref="F5:F68" ca="1" si="0">OFFSET($I$3,ROW(G5)-ROW($G$4)+1,$G$1)</f>
        <v>#N/A</v>
      </c>
      <c r="J5" s="73" t="s">
        <v>160</v>
      </c>
      <c r="K5" s="73" t="s">
        <v>210</v>
      </c>
      <c r="L5" s="73" t="s">
        <v>249</v>
      </c>
      <c r="M5" s="73" t="s">
        <v>223</v>
      </c>
      <c r="N5" s="73" t="s">
        <v>238</v>
      </c>
      <c r="O5" s="73" t="s">
        <v>230</v>
      </c>
      <c r="P5" s="73" t="s">
        <v>114</v>
      </c>
      <c r="R5" s="73" t="s">
        <v>103</v>
      </c>
      <c r="T5" s="73" t="s">
        <v>258</v>
      </c>
      <c r="U5" t="s">
        <v>168</v>
      </c>
      <c r="V5" s="73" t="s">
        <v>74</v>
      </c>
      <c r="W5" s="73" t="s">
        <v>175</v>
      </c>
      <c r="Y5" s="73" t="s">
        <v>289</v>
      </c>
    </row>
    <row r="6" spans="2:25" x14ac:dyDescent="0.2">
      <c r="B6" s="80" t="s">
        <v>274</v>
      </c>
      <c r="C6" s="65" t="s">
        <v>285</v>
      </c>
      <c r="D6" s="65" t="s">
        <v>286</v>
      </c>
      <c r="E6" s="73" t="s">
        <v>287</v>
      </c>
      <c r="F6" s="75" t="e">
        <f t="shared" ca="1" si="0"/>
        <v>#N/A</v>
      </c>
      <c r="J6" s="73" t="s">
        <v>161</v>
      </c>
      <c r="K6" s="73" t="s">
        <v>211</v>
      </c>
      <c r="L6" s="73" t="s">
        <v>250</v>
      </c>
      <c r="M6" s="73" t="s">
        <v>224</v>
      </c>
      <c r="N6" s="73" t="s">
        <v>290</v>
      </c>
      <c r="O6" s="73" t="s">
        <v>231</v>
      </c>
      <c r="P6" s="73" t="s">
        <v>116</v>
      </c>
      <c r="R6" s="73" t="s">
        <v>104</v>
      </c>
      <c r="T6" s="73" t="s">
        <v>259</v>
      </c>
      <c r="U6" t="s">
        <v>170</v>
      </c>
      <c r="V6" s="73" t="s">
        <v>75</v>
      </c>
      <c r="W6" s="73" t="s">
        <v>177</v>
      </c>
      <c r="Y6" s="73" t="s">
        <v>291</v>
      </c>
    </row>
    <row r="7" spans="2:25" x14ac:dyDescent="0.2">
      <c r="B7" s="80" t="s">
        <v>220</v>
      </c>
      <c r="C7" s="65" t="s">
        <v>285</v>
      </c>
      <c r="D7" s="65" t="s">
        <v>286</v>
      </c>
      <c r="E7" s="73" t="s">
        <v>287</v>
      </c>
      <c r="F7" s="75" t="e">
        <f t="shared" ca="1" si="0"/>
        <v>#N/A</v>
      </c>
      <c r="J7" s="73" t="s">
        <v>162</v>
      </c>
      <c r="K7" s="73" t="s">
        <v>212</v>
      </c>
      <c r="L7" s="73" t="s">
        <v>251</v>
      </c>
      <c r="M7" s="73" t="s">
        <v>225</v>
      </c>
      <c r="N7" s="73" t="s">
        <v>240</v>
      </c>
      <c r="O7" s="73" t="s">
        <v>232</v>
      </c>
      <c r="P7" s="73" t="s">
        <v>118</v>
      </c>
      <c r="R7" s="73" t="s">
        <v>105</v>
      </c>
      <c r="T7" s="73" t="s">
        <v>260</v>
      </c>
      <c r="U7" t="s">
        <v>171</v>
      </c>
      <c r="V7" s="73" t="s">
        <v>76</v>
      </c>
      <c r="W7" s="73" t="s">
        <v>178</v>
      </c>
      <c r="Y7" s="73" t="s">
        <v>292</v>
      </c>
    </row>
    <row r="8" spans="2:25" x14ac:dyDescent="0.2">
      <c r="B8" s="80" t="s">
        <v>275</v>
      </c>
      <c r="C8" s="65" t="s">
        <v>285</v>
      </c>
      <c r="D8" s="65" t="s">
        <v>286</v>
      </c>
      <c r="E8" s="73" t="s">
        <v>287</v>
      </c>
      <c r="F8" s="75" t="e">
        <f t="shared" ca="1" si="0"/>
        <v>#N/A</v>
      </c>
      <c r="J8" s="73" t="s">
        <v>163</v>
      </c>
      <c r="K8" t="s">
        <v>213</v>
      </c>
      <c r="L8" s="73" t="s">
        <v>252</v>
      </c>
      <c r="M8" s="73" t="s">
        <v>226</v>
      </c>
      <c r="O8" s="73" t="s">
        <v>233</v>
      </c>
      <c r="P8" s="73" t="s">
        <v>119</v>
      </c>
      <c r="R8" s="73" t="s">
        <v>106</v>
      </c>
      <c r="T8" s="73" t="s">
        <v>261</v>
      </c>
      <c r="U8" t="s">
        <v>172</v>
      </c>
      <c r="V8" s="73" t="s">
        <v>77</v>
      </c>
      <c r="W8" s="73" t="s">
        <v>180</v>
      </c>
      <c r="Y8" s="73" t="s">
        <v>293</v>
      </c>
    </row>
    <row r="9" spans="2:25" x14ac:dyDescent="0.2">
      <c r="B9" s="80" t="s">
        <v>276</v>
      </c>
      <c r="C9" s="65" t="s">
        <v>285</v>
      </c>
      <c r="D9" s="65" t="s">
        <v>286</v>
      </c>
      <c r="E9" s="73" t="s">
        <v>287</v>
      </c>
      <c r="F9" s="75" t="e">
        <f t="shared" ca="1" si="0"/>
        <v>#N/A</v>
      </c>
      <c r="K9" t="s">
        <v>215</v>
      </c>
      <c r="L9" s="73" t="s">
        <v>253</v>
      </c>
      <c r="O9" s="73" t="s">
        <v>234</v>
      </c>
      <c r="P9" s="73" t="s">
        <v>121</v>
      </c>
      <c r="R9" s="73" t="s">
        <v>107</v>
      </c>
      <c r="T9" s="73" t="s">
        <v>262</v>
      </c>
      <c r="V9" s="73" t="s">
        <v>78</v>
      </c>
      <c r="W9" s="73" t="s">
        <v>182</v>
      </c>
      <c r="Y9" s="73" t="s">
        <v>294</v>
      </c>
    </row>
    <row r="10" spans="2:25" x14ac:dyDescent="0.2">
      <c r="B10" s="80" t="s">
        <v>277</v>
      </c>
      <c r="C10" s="81" t="s">
        <v>287</v>
      </c>
      <c r="D10" s="81"/>
      <c r="E10" s="73" t="s">
        <v>287</v>
      </c>
      <c r="F10" s="75" t="e">
        <f t="shared" ca="1" si="0"/>
        <v>#N/A</v>
      </c>
      <c r="K10" t="s">
        <v>216</v>
      </c>
      <c r="L10" s="73" t="s">
        <v>254</v>
      </c>
      <c r="P10" s="73" t="s">
        <v>123</v>
      </c>
      <c r="R10" s="73" t="s">
        <v>108</v>
      </c>
      <c r="T10" s="73" t="s">
        <v>263</v>
      </c>
      <c r="V10" s="73" t="s">
        <v>79</v>
      </c>
      <c r="W10" s="73" t="s">
        <v>183</v>
      </c>
      <c r="Y10" s="73" t="s">
        <v>295</v>
      </c>
    </row>
    <row r="11" spans="2:25" x14ac:dyDescent="0.2">
      <c r="B11" s="80" t="s">
        <v>278</v>
      </c>
      <c r="C11" s="65" t="s">
        <v>285</v>
      </c>
      <c r="D11" s="65" t="s">
        <v>286</v>
      </c>
      <c r="E11" s="73" t="s">
        <v>287</v>
      </c>
      <c r="F11" s="75" t="e">
        <f t="shared" ca="1" si="0"/>
        <v>#N/A</v>
      </c>
      <c r="K11" t="s">
        <v>217</v>
      </c>
      <c r="P11" s="73" t="s">
        <v>125</v>
      </c>
      <c r="R11" s="73" t="s">
        <v>109</v>
      </c>
      <c r="T11" s="73" t="s">
        <v>264</v>
      </c>
      <c r="V11" s="73" t="s">
        <v>80</v>
      </c>
      <c r="W11" s="73" t="s">
        <v>184</v>
      </c>
      <c r="Y11" s="73" t="s">
        <v>296</v>
      </c>
    </row>
    <row r="12" spans="2:25" x14ac:dyDescent="0.2">
      <c r="B12" s="80" t="s">
        <v>279</v>
      </c>
      <c r="C12" s="81" t="s">
        <v>287</v>
      </c>
      <c r="D12" s="81"/>
      <c r="E12" s="73" t="s">
        <v>287</v>
      </c>
      <c r="F12" s="75" t="e">
        <f t="shared" ca="1" si="0"/>
        <v>#N/A</v>
      </c>
      <c r="K12" t="s">
        <v>218</v>
      </c>
      <c r="P12" s="73" t="s">
        <v>127</v>
      </c>
      <c r="R12" s="73" t="s">
        <v>90</v>
      </c>
      <c r="T12" s="73" t="s">
        <v>265</v>
      </c>
      <c r="V12" s="73" t="s">
        <v>81</v>
      </c>
      <c r="W12" s="73" t="s">
        <v>185</v>
      </c>
      <c r="Y12" s="73" t="s">
        <v>297</v>
      </c>
    </row>
    <row r="13" spans="2:25" x14ac:dyDescent="0.2">
      <c r="B13" s="80" t="s">
        <v>280</v>
      </c>
      <c r="C13" s="65" t="s">
        <v>285</v>
      </c>
      <c r="D13" s="65" t="s">
        <v>286</v>
      </c>
      <c r="E13" s="73" t="s">
        <v>287</v>
      </c>
      <c r="F13" s="75" t="e">
        <f t="shared" ca="1" si="0"/>
        <v>#N/A</v>
      </c>
      <c r="K13" t="s">
        <v>219</v>
      </c>
      <c r="P13" s="73" t="s">
        <v>129</v>
      </c>
      <c r="R13" s="73" t="s">
        <v>91</v>
      </c>
      <c r="T13" s="73" t="s">
        <v>266</v>
      </c>
      <c r="V13" s="73" t="s">
        <v>82</v>
      </c>
      <c r="W13" s="73" t="s">
        <v>186</v>
      </c>
      <c r="Y13" s="73" t="s">
        <v>298</v>
      </c>
    </row>
    <row r="14" spans="2:25" x14ac:dyDescent="0.2">
      <c r="B14" s="80" t="s">
        <v>255</v>
      </c>
      <c r="C14" s="81" t="s">
        <v>287</v>
      </c>
      <c r="D14" s="81"/>
      <c r="E14" s="73" t="s">
        <v>287</v>
      </c>
      <c r="F14" s="75" t="e">
        <f t="shared" ca="1" si="0"/>
        <v>#N/A</v>
      </c>
      <c r="P14" s="73" t="s">
        <v>131</v>
      </c>
      <c r="R14" s="73" t="s">
        <v>92</v>
      </c>
      <c r="V14" s="73" t="s">
        <v>83</v>
      </c>
      <c r="W14" s="73" t="s">
        <v>187</v>
      </c>
      <c r="Y14" s="73" t="s">
        <v>299</v>
      </c>
    </row>
    <row r="15" spans="2:25" x14ac:dyDescent="0.2">
      <c r="B15" s="80" t="s">
        <v>281</v>
      </c>
      <c r="C15" s="81" t="s">
        <v>287</v>
      </c>
      <c r="D15" s="81"/>
      <c r="E15" s="73" t="s">
        <v>287</v>
      </c>
      <c r="F15" s="75" t="e">
        <f t="shared" ca="1" si="0"/>
        <v>#N/A</v>
      </c>
      <c r="P15" s="73" t="s">
        <v>132</v>
      </c>
      <c r="R15" s="73" t="s">
        <v>93</v>
      </c>
      <c r="V15" s="73" t="s">
        <v>84</v>
      </c>
      <c r="W15" s="73" t="s">
        <v>188</v>
      </c>
      <c r="Y15" s="73" t="s">
        <v>300</v>
      </c>
    </row>
    <row r="16" spans="2:25" x14ac:dyDescent="0.2">
      <c r="B16" s="80" t="s">
        <v>282</v>
      </c>
      <c r="C16" s="81" t="s">
        <v>287</v>
      </c>
      <c r="D16" s="81"/>
      <c r="E16" s="73" t="s">
        <v>287</v>
      </c>
      <c r="F16" s="75" t="e">
        <f t="shared" ca="1" si="0"/>
        <v>#N/A</v>
      </c>
      <c r="P16" s="73" t="s">
        <v>134</v>
      </c>
      <c r="R16" s="73" t="s">
        <v>94</v>
      </c>
      <c r="V16" s="73" t="s">
        <v>85</v>
      </c>
      <c r="W16" s="73" t="s">
        <v>189</v>
      </c>
      <c r="Y16" s="73" t="s">
        <v>301</v>
      </c>
    </row>
    <row r="17" spans="1:25" x14ac:dyDescent="0.2">
      <c r="B17" s="80" t="s">
        <v>283</v>
      </c>
      <c r="C17" s="81" t="s">
        <v>287</v>
      </c>
      <c r="D17" s="81"/>
      <c r="E17" s="73" t="s">
        <v>287</v>
      </c>
      <c r="F17" s="75" t="e">
        <f t="shared" ca="1" si="0"/>
        <v>#N/A</v>
      </c>
      <c r="P17" s="73" t="s">
        <v>135</v>
      </c>
      <c r="R17" s="73" t="s">
        <v>95</v>
      </c>
      <c r="V17" s="73" t="s">
        <v>86</v>
      </c>
      <c r="W17" s="73" t="s">
        <v>190</v>
      </c>
      <c r="Y17" s="73" t="s">
        <v>302</v>
      </c>
    </row>
    <row r="18" spans="1:25" x14ac:dyDescent="0.2">
      <c r="F18" s="75" t="e">
        <f t="shared" ca="1" si="0"/>
        <v>#N/A</v>
      </c>
      <c r="P18" s="73" t="s">
        <v>136</v>
      </c>
      <c r="R18" s="73" t="s">
        <v>96</v>
      </c>
      <c r="V18" s="73" t="s">
        <v>87</v>
      </c>
      <c r="W18" s="73" t="s">
        <v>191</v>
      </c>
      <c r="Y18" s="73" t="s">
        <v>303</v>
      </c>
    </row>
    <row r="19" spans="1:25" ht="13.5" thickBot="1" x14ac:dyDescent="0.25">
      <c r="F19" s="75" t="e">
        <f t="shared" ca="1" si="0"/>
        <v>#N/A</v>
      </c>
      <c r="P19" s="73" t="s">
        <v>138</v>
      </c>
      <c r="R19" s="73" t="s">
        <v>97</v>
      </c>
      <c r="V19" s="73" t="s">
        <v>88</v>
      </c>
      <c r="W19" s="73" t="s">
        <v>193</v>
      </c>
      <c r="Y19" s="73" t="s">
        <v>304</v>
      </c>
    </row>
    <row r="20" spans="1:25" ht="13.5" thickBot="1" x14ac:dyDescent="0.25">
      <c r="B20" s="82" t="s">
        <v>305</v>
      </c>
      <c r="C20" s="83" t="e">
        <f>IF(VLOOKUP($F$1,$B$4:$C$17,2,0)="","",VLOOKUP($F$1,$B$4:$C$17,2,0))</f>
        <v>#N/A</v>
      </c>
      <c r="D20" s="84" t="e">
        <f>IF(VLOOKUP($F$1,$B$4:$D$17,3,0)="","Intentionally Blank",VLOOKUP($F$1,$B$4:$D$17,3,0))</f>
        <v>#N/A</v>
      </c>
      <c r="E20" s="84" t="str">
        <f>IFERROR(VLOOKUP($F$1,$B$4:$E$17,4,0),"")</f>
        <v/>
      </c>
      <c r="F20" s="75" t="e">
        <f t="shared" ca="1" si="0"/>
        <v>#N/A</v>
      </c>
      <c r="P20" s="73" t="s">
        <v>140</v>
      </c>
      <c r="R20" s="73" t="s">
        <v>98</v>
      </c>
      <c r="W20" s="73" t="s">
        <v>194</v>
      </c>
      <c r="Y20" s="73" t="s">
        <v>306</v>
      </c>
    </row>
    <row r="21" spans="1:25" x14ac:dyDescent="0.2">
      <c r="A21" s="80">
        <v>5</v>
      </c>
      <c r="F21" s="75" t="e">
        <f t="shared" ca="1" si="0"/>
        <v>#N/A</v>
      </c>
      <c r="P21" s="73" t="s">
        <v>141</v>
      </c>
      <c r="R21" s="73" t="s">
        <v>99</v>
      </c>
      <c r="W21" s="73" t="s">
        <v>196</v>
      </c>
      <c r="Y21" s="73" t="s">
        <v>307</v>
      </c>
    </row>
    <row r="22" spans="1:25" x14ac:dyDescent="0.2">
      <c r="A22" s="80">
        <f>A21+1</f>
        <v>6</v>
      </c>
      <c r="B22" s="80" t="s">
        <v>308</v>
      </c>
      <c r="C22" s="85" t="str">
        <f>IF(IFERROR(VLOOKUP($F$2,AMC!$B:$H,A21,0),"")=0,"",IFERROR(VLOOKUP($F$2,AMC!$B:$H,A21,0),""))</f>
        <v/>
      </c>
      <c r="F22" s="75" t="e">
        <f t="shared" ca="1" si="0"/>
        <v>#N/A</v>
      </c>
      <c r="P22" s="73" t="s">
        <v>142</v>
      </c>
      <c r="R22" s="73" t="s">
        <v>100</v>
      </c>
      <c r="W22" s="73" t="s">
        <v>197</v>
      </c>
    </row>
    <row r="23" spans="1:25" x14ac:dyDescent="0.2">
      <c r="A23" s="80">
        <f t="shared" ref="A23:A24" si="1">A22+1</f>
        <v>7</v>
      </c>
      <c r="B23" s="80" t="s">
        <v>309</v>
      </c>
      <c r="C23" s="85" t="str">
        <f>IF(IFERROR(VLOOKUP($F$2,AMC!$B:$H,A22,0),"")=0,"",IFERROR(VLOOKUP($F$2,AMC!$B:$H,A22,0),""))</f>
        <v/>
      </c>
      <c r="F23" s="75" t="e">
        <f t="shared" ca="1" si="0"/>
        <v>#N/A</v>
      </c>
      <c r="P23" s="73" t="s">
        <v>143</v>
      </c>
      <c r="W23" s="73" t="s">
        <v>198</v>
      </c>
    </row>
    <row r="24" spans="1:25" x14ac:dyDescent="0.2">
      <c r="A24" s="80">
        <f t="shared" si="1"/>
        <v>8</v>
      </c>
      <c r="B24" s="80" t="s">
        <v>310</v>
      </c>
      <c r="C24" s="85" t="str">
        <f>IF(IFERROR(VLOOKUP($F$2,AMC!$B:$H,A23,0),"")=0,"",IFERROR(VLOOKUP($F$2,AMC!$B:$H,A23,0),""))</f>
        <v/>
      </c>
      <c r="F24" s="75" t="e">
        <f t="shared" ca="1" si="0"/>
        <v>#N/A</v>
      </c>
      <c r="P24" s="73" t="s">
        <v>144</v>
      </c>
      <c r="W24" s="73" t="s">
        <v>199</v>
      </c>
    </row>
    <row r="25" spans="1:25" x14ac:dyDescent="0.2">
      <c r="B25" s="80" t="s">
        <v>311</v>
      </c>
      <c r="C25" s="85" t="str">
        <f>IF(IFERROR(VLOOKUP($F$2,AMC!$B:$H,A24,0),"")=0,"",IFERROR(VLOOKUP($F$2,AMC!$B:$H,A24,0),""))</f>
        <v/>
      </c>
      <c r="F25" s="75" t="e">
        <f t="shared" ca="1" si="0"/>
        <v>#N/A</v>
      </c>
      <c r="P25" s="73" t="s">
        <v>145</v>
      </c>
      <c r="W25" s="73" t="s">
        <v>200</v>
      </c>
    </row>
    <row r="26" spans="1:25" x14ac:dyDescent="0.2">
      <c r="F26" s="75" t="e">
        <f t="shared" ca="1" si="0"/>
        <v>#N/A</v>
      </c>
      <c r="K26"/>
      <c r="P26" s="73" t="s">
        <v>146</v>
      </c>
      <c r="W26" s="73" t="s">
        <v>201</v>
      </c>
    </row>
    <row r="27" spans="1:25" x14ac:dyDescent="0.2">
      <c r="F27" s="75" t="e">
        <f t="shared" ca="1" si="0"/>
        <v>#N/A</v>
      </c>
      <c r="K27"/>
      <c r="P27" s="73" t="s">
        <v>148</v>
      </c>
      <c r="W27" s="73" t="s">
        <v>202</v>
      </c>
    </row>
    <row r="28" spans="1:25" x14ac:dyDescent="0.2">
      <c r="F28" s="75" t="e">
        <f t="shared" ca="1" si="0"/>
        <v>#N/A</v>
      </c>
      <c r="K28"/>
      <c r="P28" s="73" t="s">
        <v>149</v>
      </c>
      <c r="W28" s="73" t="s">
        <v>203</v>
      </c>
    </row>
    <row r="29" spans="1:25" x14ac:dyDescent="0.2">
      <c r="F29" s="75" t="e">
        <f t="shared" ca="1" si="0"/>
        <v>#N/A</v>
      </c>
      <c r="K29"/>
      <c r="P29" s="73" t="s">
        <v>150</v>
      </c>
      <c r="W29" s="73" t="s">
        <v>204</v>
      </c>
    </row>
    <row r="30" spans="1:25" x14ac:dyDescent="0.2">
      <c r="F30" s="75" t="e">
        <f t="shared" ca="1" si="0"/>
        <v>#N/A</v>
      </c>
      <c r="K30"/>
      <c r="P30" s="73" t="s">
        <v>152</v>
      </c>
      <c r="W30" s="73" t="s">
        <v>205</v>
      </c>
    </row>
    <row r="31" spans="1:25" x14ac:dyDescent="0.2">
      <c r="F31" s="75" t="e">
        <f t="shared" ca="1" si="0"/>
        <v>#N/A</v>
      </c>
      <c r="K31"/>
      <c r="P31" s="73" t="s">
        <v>153</v>
      </c>
      <c r="W31" s="73" t="s">
        <v>206</v>
      </c>
    </row>
    <row r="32" spans="1:25" x14ac:dyDescent="0.2">
      <c r="F32" s="75" t="e">
        <f t="shared" ca="1" si="0"/>
        <v>#N/A</v>
      </c>
      <c r="P32" s="73" t="s">
        <v>154</v>
      </c>
      <c r="W32" s="73" t="s">
        <v>207</v>
      </c>
    </row>
    <row r="33" spans="6:16" x14ac:dyDescent="0.2">
      <c r="F33" s="75" t="e">
        <f t="shared" ca="1" si="0"/>
        <v>#N/A</v>
      </c>
      <c r="P33" s="73" t="s">
        <v>155</v>
      </c>
    </row>
    <row r="34" spans="6:16" x14ac:dyDescent="0.2">
      <c r="F34" s="75" t="e">
        <f t="shared" ca="1" si="0"/>
        <v>#N/A</v>
      </c>
      <c r="P34" s="73" t="s">
        <v>156</v>
      </c>
    </row>
    <row r="35" spans="6:16" x14ac:dyDescent="0.2">
      <c r="F35" s="75" t="e">
        <f t="shared" ca="1" si="0"/>
        <v>#N/A</v>
      </c>
      <c r="P35" s="73" t="s">
        <v>157</v>
      </c>
    </row>
    <row r="36" spans="6:16" x14ac:dyDescent="0.2">
      <c r="F36" s="75" t="e">
        <f t="shared" ca="1" si="0"/>
        <v>#N/A</v>
      </c>
    </row>
    <row r="37" spans="6:16" x14ac:dyDescent="0.2">
      <c r="F37" s="75" t="e">
        <f t="shared" ca="1" si="0"/>
        <v>#N/A</v>
      </c>
    </row>
    <row r="38" spans="6:16" x14ac:dyDescent="0.2">
      <c r="F38" s="75" t="e">
        <f t="shared" ca="1" si="0"/>
        <v>#N/A</v>
      </c>
    </row>
    <row r="39" spans="6:16" x14ac:dyDescent="0.2">
      <c r="F39" s="75" t="e">
        <f t="shared" ca="1" si="0"/>
        <v>#N/A</v>
      </c>
    </row>
    <row r="40" spans="6:16" x14ac:dyDescent="0.2">
      <c r="F40" s="75" t="e">
        <f t="shared" ca="1" si="0"/>
        <v>#N/A</v>
      </c>
    </row>
    <row r="41" spans="6:16" x14ac:dyDescent="0.2">
      <c r="F41" s="75" t="e">
        <f t="shared" ca="1" si="0"/>
        <v>#N/A</v>
      </c>
    </row>
    <row r="42" spans="6:16" x14ac:dyDescent="0.2">
      <c r="F42" s="75" t="e">
        <f t="shared" ca="1" si="0"/>
        <v>#N/A</v>
      </c>
    </row>
    <row r="43" spans="6:16" x14ac:dyDescent="0.2">
      <c r="F43" s="75" t="e">
        <f t="shared" ca="1" si="0"/>
        <v>#N/A</v>
      </c>
    </row>
    <row r="44" spans="6:16" x14ac:dyDescent="0.2">
      <c r="F44" s="75" t="e">
        <f t="shared" ca="1" si="0"/>
        <v>#N/A</v>
      </c>
    </row>
    <row r="45" spans="6:16" x14ac:dyDescent="0.2">
      <c r="F45" s="75" t="e">
        <f t="shared" ca="1" si="0"/>
        <v>#N/A</v>
      </c>
    </row>
    <row r="46" spans="6:16" x14ac:dyDescent="0.2">
      <c r="F46" s="75" t="e">
        <f t="shared" ca="1" si="0"/>
        <v>#N/A</v>
      </c>
    </row>
    <row r="47" spans="6:16" x14ac:dyDescent="0.2">
      <c r="F47" s="75" t="e">
        <f t="shared" ca="1" si="0"/>
        <v>#N/A</v>
      </c>
    </row>
    <row r="48" spans="6:16" x14ac:dyDescent="0.2">
      <c r="F48" s="75" t="e">
        <f t="shared" ca="1" si="0"/>
        <v>#N/A</v>
      </c>
    </row>
    <row r="49" spans="6:6" x14ac:dyDescent="0.2">
      <c r="F49" s="75" t="e">
        <f t="shared" ca="1" si="0"/>
        <v>#N/A</v>
      </c>
    </row>
    <row r="50" spans="6:6" x14ac:dyDescent="0.2">
      <c r="F50" s="75" t="e">
        <f t="shared" ca="1" si="0"/>
        <v>#N/A</v>
      </c>
    </row>
    <row r="51" spans="6:6" x14ac:dyDescent="0.2">
      <c r="F51" s="75" t="e">
        <f t="shared" ca="1" si="0"/>
        <v>#N/A</v>
      </c>
    </row>
    <row r="52" spans="6:6" x14ac:dyDescent="0.2">
      <c r="F52" s="75" t="e">
        <f t="shared" ca="1" si="0"/>
        <v>#N/A</v>
      </c>
    </row>
    <row r="53" spans="6:6" x14ac:dyDescent="0.2">
      <c r="F53" s="75" t="e">
        <f t="shared" ca="1" si="0"/>
        <v>#N/A</v>
      </c>
    </row>
    <row r="54" spans="6:6" x14ac:dyDescent="0.2">
      <c r="F54" s="75" t="e">
        <f t="shared" ca="1" si="0"/>
        <v>#N/A</v>
      </c>
    </row>
    <row r="55" spans="6:6" x14ac:dyDescent="0.2">
      <c r="F55" s="75" t="e">
        <f t="shared" ca="1" si="0"/>
        <v>#N/A</v>
      </c>
    </row>
    <row r="56" spans="6:6" x14ac:dyDescent="0.2">
      <c r="F56" s="75" t="e">
        <f t="shared" ca="1" si="0"/>
        <v>#N/A</v>
      </c>
    </row>
    <row r="57" spans="6:6" x14ac:dyDescent="0.2">
      <c r="F57" s="75" t="e">
        <f t="shared" ca="1" si="0"/>
        <v>#N/A</v>
      </c>
    </row>
    <row r="58" spans="6:6" x14ac:dyDescent="0.2">
      <c r="F58" s="75" t="e">
        <f t="shared" ca="1" si="0"/>
        <v>#N/A</v>
      </c>
    </row>
    <row r="59" spans="6:6" x14ac:dyDescent="0.2">
      <c r="F59" s="75" t="e">
        <f t="shared" ca="1" si="0"/>
        <v>#N/A</v>
      </c>
    </row>
    <row r="60" spans="6:6" x14ac:dyDescent="0.2">
      <c r="F60" s="75" t="e">
        <f t="shared" ca="1" si="0"/>
        <v>#N/A</v>
      </c>
    </row>
    <row r="61" spans="6:6" x14ac:dyDescent="0.2">
      <c r="F61" s="75" t="e">
        <f t="shared" ca="1" si="0"/>
        <v>#N/A</v>
      </c>
    </row>
    <row r="62" spans="6:6" x14ac:dyDescent="0.2">
      <c r="F62" s="75" t="e">
        <f t="shared" ca="1" si="0"/>
        <v>#N/A</v>
      </c>
    </row>
    <row r="63" spans="6:6" x14ac:dyDescent="0.2">
      <c r="F63" s="75" t="e">
        <f t="shared" ca="1" si="0"/>
        <v>#N/A</v>
      </c>
    </row>
    <row r="64" spans="6:6" x14ac:dyDescent="0.2">
      <c r="F64" s="75" t="e">
        <f t="shared" ca="1" si="0"/>
        <v>#N/A</v>
      </c>
    </row>
    <row r="65" spans="6:6" x14ac:dyDescent="0.2">
      <c r="F65" s="75" t="e">
        <f t="shared" ca="1" si="0"/>
        <v>#N/A</v>
      </c>
    </row>
    <row r="66" spans="6:6" x14ac:dyDescent="0.2">
      <c r="F66" s="75" t="e">
        <f t="shared" ca="1" si="0"/>
        <v>#N/A</v>
      </c>
    </row>
    <row r="67" spans="6:6" x14ac:dyDescent="0.2">
      <c r="F67" s="75" t="e">
        <f t="shared" ca="1" si="0"/>
        <v>#N/A</v>
      </c>
    </row>
    <row r="68" spans="6:6" x14ac:dyDescent="0.2">
      <c r="F68" s="75" t="e">
        <f t="shared" ca="1" si="0"/>
        <v>#N/A</v>
      </c>
    </row>
    <row r="69" spans="6:6" x14ac:dyDescent="0.2">
      <c r="F69" s="75" t="e">
        <f t="shared" ref="F69:F132" ca="1" si="2">OFFSET($I$3,ROW(G69)-ROW($G$4)+1,$G$1)</f>
        <v>#N/A</v>
      </c>
    </row>
    <row r="70" spans="6:6" x14ac:dyDescent="0.2">
      <c r="F70" s="75" t="e">
        <f t="shared" ca="1" si="2"/>
        <v>#N/A</v>
      </c>
    </row>
    <row r="71" spans="6:6" x14ac:dyDescent="0.2">
      <c r="F71" s="75" t="e">
        <f t="shared" ca="1" si="2"/>
        <v>#N/A</v>
      </c>
    </row>
    <row r="72" spans="6:6" x14ac:dyDescent="0.2">
      <c r="F72" s="75" t="e">
        <f t="shared" ca="1" si="2"/>
        <v>#N/A</v>
      </c>
    </row>
    <row r="73" spans="6:6" x14ac:dyDescent="0.2">
      <c r="F73" s="75" t="e">
        <f t="shared" ca="1" si="2"/>
        <v>#N/A</v>
      </c>
    </row>
    <row r="74" spans="6:6" x14ac:dyDescent="0.2">
      <c r="F74" s="75" t="e">
        <f t="shared" ca="1" si="2"/>
        <v>#N/A</v>
      </c>
    </row>
    <row r="75" spans="6:6" x14ac:dyDescent="0.2">
      <c r="F75" s="75" t="e">
        <f t="shared" ca="1" si="2"/>
        <v>#N/A</v>
      </c>
    </row>
    <row r="76" spans="6:6" x14ac:dyDescent="0.2">
      <c r="F76" s="75" t="e">
        <f t="shared" ca="1" si="2"/>
        <v>#N/A</v>
      </c>
    </row>
    <row r="77" spans="6:6" x14ac:dyDescent="0.2">
      <c r="F77" s="75" t="e">
        <f t="shared" ca="1" si="2"/>
        <v>#N/A</v>
      </c>
    </row>
    <row r="78" spans="6:6" x14ac:dyDescent="0.2">
      <c r="F78" s="75" t="e">
        <f t="shared" ca="1" si="2"/>
        <v>#N/A</v>
      </c>
    </row>
    <row r="79" spans="6:6" x14ac:dyDescent="0.2">
      <c r="F79" s="75" t="e">
        <f t="shared" ca="1" si="2"/>
        <v>#N/A</v>
      </c>
    </row>
    <row r="80" spans="6:6" x14ac:dyDescent="0.2">
      <c r="F80" s="75" t="e">
        <f t="shared" ca="1" si="2"/>
        <v>#N/A</v>
      </c>
    </row>
    <row r="81" spans="6:6" x14ac:dyDescent="0.2">
      <c r="F81" s="75" t="e">
        <f t="shared" ca="1" si="2"/>
        <v>#N/A</v>
      </c>
    </row>
    <row r="82" spans="6:6" x14ac:dyDescent="0.2">
      <c r="F82" s="75" t="e">
        <f t="shared" ca="1" si="2"/>
        <v>#N/A</v>
      </c>
    </row>
    <row r="83" spans="6:6" x14ac:dyDescent="0.2">
      <c r="F83" s="75" t="e">
        <f t="shared" ca="1" si="2"/>
        <v>#N/A</v>
      </c>
    </row>
    <row r="84" spans="6:6" x14ac:dyDescent="0.2">
      <c r="F84" s="75" t="e">
        <f t="shared" ca="1" si="2"/>
        <v>#N/A</v>
      </c>
    </row>
    <row r="85" spans="6:6" x14ac:dyDescent="0.2">
      <c r="F85" s="75" t="e">
        <f t="shared" ca="1" si="2"/>
        <v>#N/A</v>
      </c>
    </row>
    <row r="86" spans="6:6" x14ac:dyDescent="0.2">
      <c r="F86" s="75" t="e">
        <f t="shared" ca="1" si="2"/>
        <v>#N/A</v>
      </c>
    </row>
    <row r="87" spans="6:6" x14ac:dyDescent="0.2">
      <c r="F87" s="75" t="e">
        <f t="shared" ca="1" si="2"/>
        <v>#N/A</v>
      </c>
    </row>
    <row r="88" spans="6:6" x14ac:dyDescent="0.2">
      <c r="F88" s="75" t="e">
        <f t="shared" ca="1" si="2"/>
        <v>#N/A</v>
      </c>
    </row>
    <row r="89" spans="6:6" x14ac:dyDescent="0.2">
      <c r="F89" s="75" t="e">
        <f t="shared" ca="1" si="2"/>
        <v>#N/A</v>
      </c>
    </row>
    <row r="90" spans="6:6" x14ac:dyDescent="0.2">
      <c r="F90" s="75" t="e">
        <f t="shared" ca="1" si="2"/>
        <v>#N/A</v>
      </c>
    </row>
    <row r="91" spans="6:6" x14ac:dyDescent="0.2">
      <c r="F91" s="75" t="e">
        <f t="shared" ca="1" si="2"/>
        <v>#N/A</v>
      </c>
    </row>
    <row r="92" spans="6:6" x14ac:dyDescent="0.2">
      <c r="F92" s="75" t="e">
        <f t="shared" ca="1" si="2"/>
        <v>#N/A</v>
      </c>
    </row>
    <row r="93" spans="6:6" x14ac:dyDescent="0.2">
      <c r="F93" s="75" t="e">
        <f t="shared" ca="1" si="2"/>
        <v>#N/A</v>
      </c>
    </row>
    <row r="94" spans="6:6" x14ac:dyDescent="0.2">
      <c r="F94" s="75" t="e">
        <f t="shared" ca="1" si="2"/>
        <v>#N/A</v>
      </c>
    </row>
    <row r="95" spans="6:6" x14ac:dyDescent="0.2">
      <c r="F95" s="75" t="e">
        <f t="shared" ca="1" si="2"/>
        <v>#N/A</v>
      </c>
    </row>
    <row r="96" spans="6:6" x14ac:dyDescent="0.2">
      <c r="F96" s="75" t="e">
        <f t="shared" ca="1" si="2"/>
        <v>#N/A</v>
      </c>
    </row>
    <row r="97" spans="6:6" x14ac:dyDescent="0.2">
      <c r="F97" s="75" t="e">
        <f t="shared" ca="1" si="2"/>
        <v>#N/A</v>
      </c>
    </row>
    <row r="98" spans="6:6" x14ac:dyDescent="0.2">
      <c r="F98" s="75" t="e">
        <f t="shared" ca="1" si="2"/>
        <v>#N/A</v>
      </c>
    </row>
    <row r="99" spans="6:6" x14ac:dyDescent="0.2">
      <c r="F99" s="75" t="e">
        <f t="shared" ca="1" si="2"/>
        <v>#N/A</v>
      </c>
    </row>
    <row r="100" spans="6:6" x14ac:dyDescent="0.2">
      <c r="F100" s="75" t="e">
        <f t="shared" ca="1" si="2"/>
        <v>#N/A</v>
      </c>
    </row>
    <row r="101" spans="6:6" x14ac:dyDescent="0.2">
      <c r="F101" s="75" t="e">
        <f t="shared" ca="1" si="2"/>
        <v>#N/A</v>
      </c>
    </row>
    <row r="102" spans="6:6" x14ac:dyDescent="0.2">
      <c r="F102" s="75" t="e">
        <f t="shared" ca="1" si="2"/>
        <v>#N/A</v>
      </c>
    </row>
    <row r="103" spans="6:6" x14ac:dyDescent="0.2">
      <c r="F103" s="75" t="e">
        <f t="shared" ca="1" si="2"/>
        <v>#N/A</v>
      </c>
    </row>
    <row r="104" spans="6:6" x14ac:dyDescent="0.2">
      <c r="F104" s="75" t="e">
        <f t="shared" ca="1" si="2"/>
        <v>#N/A</v>
      </c>
    </row>
    <row r="105" spans="6:6" x14ac:dyDescent="0.2">
      <c r="F105" s="75" t="e">
        <f t="shared" ca="1" si="2"/>
        <v>#N/A</v>
      </c>
    </row>
    <row r="106" spans="6:6" x14ac:dyDescent="0.2">
      <c r="F106" s="75" t="e">
        <f t="shared" ca="1" si="2"/>
        <v>#N/A</v>
      </c>
    </row>
    <row r="107" spans="6:6" x14ac:dyDescent="0.2">
      <c r="F107" s="75" t="e">
        <f t="shared" ca="1" si="2"/>
        <v>#N/A</v>
      </c>
    </row>
    <row r="108" spans="6:6" x14ac:dyDescent="0.2">
      <c r="F108" s="75" t="e">
        <f t="shared" ca="1" si="2"/>
        <v>#N/A</v>
      </c>
    </row>
    <row r="109" spans="6:6" x14ac:dyDescent="0.2">
      <c r="F109" s="75" t="e">
        <f t="shared" ca="1" si="2"/>
        <v>#N/A</v>
      </c>
    </row>
    <row r="110" spans="6:6" x14ac:dyDescent="0.2">
      <c r="F110" s="75" t="e">
        <f t="shared" ca="1" si="2"/>
        <v>#N/A</v>
      </c>
    </row>
    <row r="111" spans="6:6" x14ac:dyDescent="0.2">
      <c r="F111" s="75" t="e">
        <f t="shared" ca="1" si="2"/>
        <v>#N/A</v>
      </c>
    </row>
    <row r="112" spans="6:6" x14ac:dyDescent="0.2">
      <c r="F112" s="75" t="e">
        <f t="shared" ca="1" si="2"/>
        <v>#N/A</v>
      </c>
    </row>
    <row r="113" spans="6:6" x14ac:dyDescent="0.2">
      <c r="F113" s="75" t="e">
        <f t="shared" ca="1" si="2"/>
        <v>#N/A</v>
      </c>
    </row>
    <row r="114" spans="6:6" x14ac:dyDescent="0.2">
      <c r="F114" s="75" t="e">
        <f t="shared" ca="1" si="2"/>
        <v>#N/A</v>
      </c>
    </row>
    <row r="115" spans="6:6" x14ac:dyDescent="0.2">
      <c r="F115" s="75" t="e">
        <f t="shared" ca="1" si="2"/>
        <v>#N/A</v>
      </c>
    </row>
    <row r="116" spans="6:6" x14ac:dyDescent="0.2">
      <c r="F116" s="75" t="e">
        <f t="shared" ca="1" si="2"/>
        <v>#N/A</v>
      </c>
    </row>
    <row r="117" spans="6:6" x14ac:dyDescent="0.2">
      <c r="F117" s="75" t="e">
        <f t="shared" ca="1" si="2"/>
        <v>#N/A</v>
      </c>
    </row>
    <row r="118" spans="6:6" x14ac:dyDescent="0.2">
      <c r="F118" s="75" t="e">
        <f t="shared" ca="1" si="2"/>
        <v>#N/A</v>
      </c>
    </row>
    <row r="119" spans="6:6" x14ac:dyDescent="0.2">
      <c r="F119" s="75" t="e">
        <f t="shared" ca="1" si="2"/>
        <v>#N/A</v>
      </c>
    </row>
    <row r="120" spans="6:6" x14ac:dyDescent="0.2">
      <c r="F120" s="75" t="e">
        <f t="shared" ca="1" si="2"/>
        <v>#N/A</v>
      </c>
    </row>
    <row r="121" spans="6:6" x14ac:dyDescent="0.2">
      <c r="F121" s="75" t="e">
        <f t="shared" ca="1" si="2"/>
        <v>#N/A</v>
      </c>
    </row>
    <row r="122" spans="6:6" x14ac:dyDescent="0.2">
      <c r="F122" s="75" t="e">
        <f t="shared" ca="1" si="2"/>
        <v>#N/A</v>
      </c>
    </row>
    <row r="123" spans="6:6" x14ac:dyDescent="0.2">
      <c r="F123" s="75" t="e">
        <f t="shared" ca="1" si="2"/>
        <v>#N/A</v>
      </c>
    </row>
    <row r="124" spans="6:6" x14ac:dyDescent="0.2">
      <c r="F124" s="75" t="e">
        <f t="shared" ca="1" si="2"/>
        <v>#N/A</v>
      </c>
    </row>
    <row r="125" spans="6:6" x14ac:dyDescent="0.2">
      <c r="F125" s="75" t="e">
        <f t="shared" ca="1" si="2"/>
        <v>#N/A</v>
      </c>
    </row>
    <row r="126" spans="6:6" x14ac:dyDescent="0.2">
      <c r="F126" s="75" t="e">
        <f t="shared" ca="1" si="2"/>
        <v>#N/A</v>
      </c>
    </row>
    <row r="127" spans="6:6" x14ac:dyDescent="0.2">
      <c r="F127" s="75" t="e">
        <f t="shared" ca="1" si="2"/>
        <v>#N/A</v>
      </c>
    </row>
    <row r="128" spans="6:6" x14ac:dyDescent="0.2">
      <c r="F128" s="75" t="e">
        <f t="shared" ca="1" si="2"/>
        <v>#N/A</v>
      </c>
    </row>
    <row r="129" spans="6:6" x14ac:dyDescent="0.2">
      <c r="F129" s="75" t="e">
        <f t="shared" ca="1" si="2"/>
        <v>#N/A</v>
      </c>
    </row>
    <row r="130" spans="6:6" x14ac:dyDescent="0.2">
      <c r="F130" s="75" t="e">
        <f t="shared" ca="1" si="2"/>
        <v>#N/A</v>
      </c>
    </row>
    <row r="131" spans="6:6" x14ac:dyDescent="0.2">
      <c r="F131" s="75" t="e">
        <f t="shared" ca="1" si="2"/>
        <v>#N/A</v>
      </c>
    </row>
    <row r="132" spans="6:6" x14ac:dyDescent="0.2">
      <c r="F132" s="75" t="e">
        <f t="shared" ca="1" si="2"/>
        <v>#N/A</v>
      </c>
    </row>
    <row r="133" spans="6:6" x14ac:dyDescent="0.2">
      <c r="F133" s="75" t="e">
        <f t="shared" ref="F133:F139" ca="1" si="3">OFFSET($I$3,ROW(G133)-ROW($G$4)+1,$G$1)</f>
        <v>#N/A</v>
      </c>
    </row>
    <row r="134" spans="6:6" x14ac:dyDescent="0.2">
      <c r="F134" s="75" t="e">
        <f t="shared" ca="1" si="3"/>
        <v>#N/A</v>
      </c>
    </row>
    <row r="135" spans="6:6" x14ac:dyDescent="0.2">
      <c r="F135" s="75" t="e">
        <f t="shared" ca="1" si="3"/>
        <v>#N/A</v>
      </c>
    </row>
    <row r="136" spans="6:6" x14ac:dyDescent="0.2">
      <c r="F136" s="75" t="e">
        <f t="shared" ca="1" si="3"/>
        <v>#N/A</v>
      </c>
    </row>
    <row r="137" spans="6:6" x14ac:dyDescent="0.2">
      <c r="F137" s="75" t="e">
        <f t="shared" ca="1" si="3"/>
        <v>#N/A</v>
      </c>
    </row>
    <row r="138" spans="6:6" x14ac:dyDescent="0.2">
      <c r="F138" s="75" t="e">
        <f t="shared" ca="1" si="3"/>
        <v>#N/A</v>
      </c>
    </row>
    <row r="139" spans="6:6" x14ac:dyDescent="0.2">
      <c r="F139" s="75" t="e">
        <f t="shared" ca="1" si="3"/>
        <v>#N/A</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194CD-F1AB-4859-BA33-D3271B589390}">
  <dimension ref="A1:L44"/>
  <sheetViews>
    <sheetView workbookViewId="0">
      <selection activeCell="D26" sqref="D26:E26"/>
    </sheetView>
  </sheetViews>
  <sheetFormatPr defaultRowHeight="12.75" x14ac:dyDescent="0.2"/>
  <cols>
    <col min="2" max="2" width="34.5703125" customWidth="1"/>
    <col min="3" max="3" width="35.140625" customWidth="1"/>
    <col min="4" max="4" width="30.140625" customWidth="1"/>
    <col min="5" max="9" width="19" customWidth="1"/>
  </cols>
  <sheetData>
    <row r="1" spans="1:12" ht="13.5" thickBot="1" x14ac:dyDescent="0.25">
      <c r="A1" s="136" t="s">
        <v>312</v>
      </c>
      <c r="B1" s="137"/>
      <c r="C1" s="138" t="str">
        <f>IF(ISERROR(HLOOKUP(B3,D3:I3,1,0)),"N","Y")</f>
        <v>N</v>
      </c>
    </row>
    <row r="2" spans="1:12" x14ac:dyDescent="0.2">
      <c r="L2" t="s">
        <v>61</v>
      </c>
    </row>
    <row r="3" spans="1:12" x14ac:dyDescent="0.2">
      <c r="A3" s="65" t="s">
        <v>313</v>
      </c>
      <c r="B3" s="65">
        <f>'PRSA Transfer Form'!F32</f>
        <v>0</v>
      </c>
      <c r="C3" s="65" t="s">
        <v>314</v>
      </c>
      <c r="D3" s="9" t="s">
        <v>213</v>
      </c>
      <c r="E3" s="9" t="s">
        <v>215</v>
      </c>
      <c r="F3" s="9" t="s">
        <v>216</v>
      </c>
      <c r="G3" s="9" t="s">
        <v>217</v>
      </c>
      <c r="H3" s="9" t="s">
        <v>218</v>
      </c>
      <c r="I3" s="9" t="s">
        <v>219</v>
      </c>
      <c r="L3" s="140" t="str">
        <f>""</f>
        <v/>
      </c>
    </row>
    <row r="4" spans="1:12" x14ac:dyDescent="0.2">
      <c r="A4" s="9">
        <v>2</v>
      </c>
      <c r="B4" s="7" t="str">
        <f>IF('PRSA Transfer Form'!F31&lt;&gt;Providers!B5,"Not required to provide for this provider",HLOOKUP($B$3,$D$3:$I$15,A4,0))</f>
        <v>Not required to provide for this provider</v>
      </c>
      <c r="C4" s="9">
        <v>1</v>
      </c>
      <c r="D4" s="139">
        <v>0</v>
      </c>
      <c r="E4" s="139">
        <v>0</v>
      </c>
      <c r="F4" s="139">
        <v>0</v>
      </c>
      <c r="G4" s="139">
        <v>0</v>
      </c>
      <c r="H4" s="139">
        <v>0</v>
      </c>
      <c r="I4" s="139">
        <v>0</v>
      </c>
      <c r="L4" s="140">
        <v>0</v>
      </c>
    </row>
    <row r="5" spans="1:12" x14ac:dyDescent="0.2">
      <c r="A5" s="9">
        <f t="shared" ref="A5:A11" si="0">A4+1</f>
        <v>3</v>
      </c>
      <c r="B5" s="7" t="str">
        <f>IFERROR(HLOOKUP($B$3,$D$3:$I$15,A5,0),"")</f>
        <v/>
      </c>
      <c r="C5" s="9">
        <v>2</v>
      </c>
      <c r="D5" s="140">
        <v>2.5000000000000001E-3</v>
      </c>
      <c r="E5" s="140">
        <v>1E-3</v>
      </c>
      <c r="F5" s="140">
        <v>1E-3</v>
      </c>
      <c r="G5" s="140">
        <v>1.5E-3</v>
      </c>
      <c r="H5" s="140">
        <v>2.5000000000000001E-3</v>
      </c>
      <c r="I5" s="140">
        <v>1.5E-3</v>
      </c>
      <c r="L5" s="140">
        <v>1E-3</v>
      </c>
    </row>
    <row r="6" spans="1:12" x14ac:dyDescent="0.2">
      <c r="A6" s="9">
        <f t="shared" si="0"/>
        <v>4</v>
      </c>
      <c r="B6" s="7" t="str">
        <f t="shared" ref="B6:B11" si="1">IFERROR(HLOOKUP($B$3,$D$3:$I$15,A6,0),"")</f>
        <v/>
      </c>
      <c r="C6" s="9">
        <v>3</v>
      </c>
      <c r="D6" s="140">
        <v>5.0000000000000001E-3</v>
      </c>
      <c r="E6" s="140">
        <v>2.5000000000000001E-3</v>
      </c>
      <c r="F6" s="140">
        <v>2.5000000000000001E-3</v>
      </c>
      <c r="G6" s="140">
        <v>2.5000000000000001E-3</v>
      </c>
      <c r="H6" s="141"/>
      <c r="I6" s="140">
        <v>2.5000000000000001E-3</v>
      </c>
      <c r="L6" s="140">
        <v>1.5E-3</v>
      </c>
    </row>
    <row r="7" spans="1:12" x14ac:dyDescent="0.2">
      <c r="A7" s="9">
        <f t="shared" si="0"/>
        <v>5</v>
      </c>
      <c r="B7" s="7" t="str">
        <f t="shared" si="1"/>
        <v/>
      </c>
      <c r="C7" s="9">
        <v>4</v>
      </c>
      <c r="D7" s="141"/>
      <c r="E7" s="140">
        <v>5.0000000000000001E-3</v>
      </c>
      <c r="F7" s="140">
        <v>3.5000000000000001E-3</v>
      </c>
      <c r="G7" s="140">
        <v>4.0000000000000001E-3</v>
      </c>
      <c r="H7" s="141"/>
      <c r="I7" s="140">
        <v>4.0000000000000001E-3</v>
      </c>
      <c r="L7" s="140">
        <v>2.5000000000000001E-3</v>
      </c>
    </row>
    <row r="8" spans="1:12" x14ac:dyDescent="0.2">
      <c r="A8" s="9">
        <f t="shared" si="0"/>
        <v>6</v>
      </c>
      <c r="B8" s="7" t="str">
        <f>IFERROR(HLOOKUP($B$3,$D$3:$I$15,A8,0),"")</f>
        <v/>
      </c>
      <c r="C8" s="9">
        <v>5</v>
      </c>
      <c r="D8" s="141"/>
      <c r="E8" s="140">
        <v>7.4999999999999997E-3</v>
      </c>
      <c r="F8" s="140">
        <v>5.0000000000000001E-3</v>
      </c>
      <c r="G8" s="140">
        <v>5.0000000000000001E-3</v>
      </c>
      <c r="H8" s="141"/>
      <c r="I8" s="140">
        <v>6.4999999999999997E-3</v>
      </c>
      <c r="L8" s="140">
        <v>3.5000000000000001E-3</v>
      </c>
    </row>
    <row r="9" spans="1:12" x14ac:dyDescent="0.2">
      <c r="A9" s="9">
        <f t="shared" si="0"/>
        <v>7</v>
      </c>
      <c r="B9" s="7" t="str">
        <f>IFERROR(HLOOKUP($B$3,$D$3:$I$15,A9,0),"")</f>
        <v/>
      </c>
      <c r="C9" s="9">
        <v>6</v>
      </c>
      <c r="D9" s="141"/>
      <c r="E9" s="141"/>
      <c r="F9" s="140">
        <v>7.4999999999999997E-3</v>
      </c>
      <c r="G9" s="140">
        <v>6.4999999999999997E-3</v>
      </c>
      <c r="H9" s="141"/>
      <c r="I9" s="140">
        <v>8.9999999999999993E-3</v>
      </c>
      <c r="L9" s="140">
        <v>4.0000000000000001E-3</v>
      </c>
    </row>
    <row r="10" spans="1:12" x14ac:dyDescent="0.2">
      <c r="A10" s="9">
        <f t="shared" si="0"/>
        <v>8</v>
      </c>
      <c r="B10" s="7" t="str">
        <f t="shared" si="1"/>
        <v/>
      </c>
      <c r="C10" s="9">
        <v>7</v>
      </c>
      <c r="D10" s="141"/>
      <c r="E10" s="141"/>
      <c r="F10" s="139">
        <v>0.01</v>
      </c>
      <c r="G10" s="140">
        <v>8.9999999999999993E-3</v>
      </c>
      <c r="H10" s="141"/>
      <c r="I10" s="141"/>
      <c r="L10" s="140">
        <v>5.0000000000000001E-3</v>
      </c>
    </row>
    <row r="11" spans="1:12" x14ac:dyDescent="0.2">
      <c r="A11" s="9">
        <f t="shared" si="0"/>
        <v>9</v>
      </c>
      <c r="B11" s="7" t="str">
        <f t="shared" si="1"/>
        <v/>
      </c>
      <c r="C11" s="9">
        <v>8</v>
      </c>
      <c r="D11" s="141"/>
      <c r="E11" s="141"/>
      <c r="F11" s="141"/>
      <c r="G11" s="141"/>
      <c r="H11" s="141"/>
      <c r="I11" s="141"/>
      <c r="L11" s="140">
        <v>6.4999999999999997E-3</v>
      </c>
    </row>
    <row r="12" spans="1:12" x14ac:dyDescent="0.2">
      <c r="L12" s="140">
        <v>7.4999999999999997E-3</v>
      </c>
    </row>
    <row r="13" spans="1:12" ht="13.5" thickBot="1" x14ac:dyDescent="0.25">
      <c r="A13" s="65" t="s">
        <v>313</v>
      </c>
      <c r="B13" s="142">
        <f>'PRSA Transfer Form'!F33</f>
        <v>0</v>
      </c>
      <c r="C13" s="65" t="str">
        <f>VLOOKUP(B13,B3:C11,2,0)</f>
        <v>Option number</v>
      </c>
      <c r="D13" s="65" t="str">
        <f>B3&amp;C13</f>
        <v>0Option number</v>
      </c>
      <c r="E13" s="65" t="e">
        <f>VLOOKUP($D$13,$B$15:$C$44,2,0)</f>
        <v>#N/A</v>
      </c>
      <c r="L13" s="140">
        <v>8.9999999999999993E-3</v>
      </c>
    </row>
    <row r="14" spans="1:12" x14ac:dyDescent="0.2">
      <c r="B14" s="143" t="s">
        <v>315</v>
      </c>
      <c r="C14" t="s">
        <v>316</v>
      </c>
      <c r="H14" s="144" t="s">
        <v>317</v>
      </c>
      <c r="L14" s="140">
        <v>0.01</v>
      </c>
    </row>
    <row r="15" spans="1:12" x14ac:dyDescent="0.2">
      <c r="B15" s="73" t="s">
        <v>318</v>
      </c>
      <c r="C15" t="str">
        <f>H17</f>
        <v>Aviva PRSA Option 3   - (APP/F/977/NS)</v>
      </c>
      <c r="H15" s="145" t="s">
        <v>288</v>
      </c>
    </row>
    <row r="16" spans="1:12" x14ac:dyDescent="0.2">
      <c r="B16" s="73" t="s">
        <v>319</v>
      </c>
      <c r="C16" t="str">
        <f>H18</f>
        <v>Aviva PRSA Option 4 - (APP/F/978/NS)</v>
      </c>
      <c r="H16" s="145" t="s">
        <v>289</v>
      </c>
    </row>
    <row r="17" spans="2:8" x14ac:dyDescent="0.2">
      <c r="B17" s="73" t="s">
        <v>320</v>
      </c>
      <c r="C17" t="str">
        <f>H19</f>
        <v>Aviva PRSA Option 5 - (APP/F/979/NS)</v>
      </c>
      <c r="H17" s="145" t="s">
        <v>291</v>
      </c>
    </row>
    <row r="18" spans="2:8" x14ac:dyDescent="0.2">
      <c r="B18" s="73" t="s">
        <v>321</v>
      </c>
      <c r="C18" t="str">
        <f>H15</f>
        <v>Aviva PRSA Option 1   - (APP/F/975/NS)</v>
      </c>
      <c r="H18" s="145" t="s">
        <v>292</v>
      </c>
    </row>
    <row r="19" spans="2:8" x14ac:dyDescent="0.2">
      <c r="B19" s="73" t="s">
        <v>322</v>
      </c>
      <c r="C19" t="str">
        <f>H16</f>
        <v>Aviva PRSA Option 2   - (APP/F/976/NS)</v>
      </c>
      <c r="H19" s="145" t="s">
        <v>293</v>
      </c>
    </row>
    <row r="20" spans="2:8" x14ac:dyDescent="0.2">
      <c r="B20" s="73" t="s">
        <v>323</v>
      </c>
      <c r="C20" t="str">
        <f>H17</f>
        <v>Aviva PRSA Option 3   - (APP/F/977/NS)</v>
      </c>
      <c r="H20" s="145" t="s">
        <v>294</v>
      </c>
    </row>
    <row r="21" spans="2:8" x14ac:dyDescent="0.2">
      <c r="B21" s="73" t="s">
        <v>324</v>
      </c>
      <c r="C21" t="str">
        <f>H18</f>
        <v>Aviva PRSA Option 4 - (APP/F/978/NS)</v>
      </c>
      <c r="H21" s="145" t="s">
        <v>295</v>
      </c>
    </row>
    <row r="22" spans="2:8" x14ac:dyDescent="0.2">
      <c r="B22" s="73" t="s">
        <v>325</v>
      </c>
      <c r="C22" t="str">
        <f>H19</f>
        <v>Aviva PRSA Option 5 - (APP/F/979/NS)</v>
      </c>
      <c r="H22" s="145" t="s">
        <v>296</v>
      </c>
    </row>
    <row r="23" spans="2:8" x14ac:dyDescent="0.2">
      <c r="B23" s="73" t="s">
        <v>326</v>
      </c>
      <c r="C23" t="str">
        <f t="shared" ref="C23:C29" si="2">H21</f>
        <v>Aviva PRSA Option 7 - (APP/F/981/NS)</v>
      </c>
      <c r="H23" s="145" t="s">
        <v>297</v>
      </c>
    </row>
    <row r="24" spans="2:8" x14ac:dyDescent="0.2">
      <c r="B24" s="73" t="s">
        <v>327</v>
      </c>
      <c r="C24" t="str">
        <f t="shared" si="2"/>
        <v>Aviva PRSA Option 8 - (APP/F/982/NS)</v>
      </c>
      <c r="H24" s="145" t="s">
        <v>298</v>
      </c>
    </row>
    <row r="25" spans="2:8" x14ac:dyDescent="0.2">
      <c r="B25" s="73" t="s">
        <v>328</v>
      </c>
      <c r="C25" t="str">
        <f t="shared" si="2"/>
        <v>Aviva PRSA Option 9 - (APP/F/983/NS)</v>
      </c>
      <c r="H25" s="145" t="s">
        <v>299</v>
      </c>
    </row>
    <row r="26" spans="2:8" x14ac:dyDescent="0.2">
      <c r="B26" s="73" t="s">
        <v>329</v>
      </c>
      <c r="C26" t="str">
        <f t="shared" si="2"/>
        <v>Aviva PRSA Option 10 - (APP/F/984/NS)</v>
      </c>
      <c r="H26" s="145" t="s">
        <v>300</v>
      </c>
    </row>
    <row r="27" spans="2:8" x14ac:dyDescent="0.2">
      <c r="B27" s="73" t="s">
        <v>330</v>
      </c>
      <c r="C27" t="str">
        <f t="shared" si="2"/>
        <v>Aviva PRSA Option 11 - (APP/F/985/NS)</v>
      </c>
      <c r="H27" s="145" t="s">
        <v>301</v>
      </c>
    </row>
    <row r="28" spans="2:8" x14ac:dyDescent="0.2">
      <c r="B28" s="73" t="s">
        <v>331</v>
      </c>
      <c r="C28" t="str">
        <f t="shared" si="2"/>
        <v>Aviva PRSA Option 12 - (APP/F/986/NS)</v>
      </c>
      <c r="H28" s="145" t="s">
        <v>302</v>
      </c>
    </row>
    <row r="29" spans="2:8" x14ac:dyDescent="0.2">
      <c r="B29" s="73" t="s">
        <v>332</v>
      </c>
      <c r="C29" t="str">
        <f t="shared" si="2"/>
        <v>Aviva PRSA Option 13 - (APP/F/987/NS)</v>
      </c>
      <c r="H29" s="145" t="s">
        <v>303</v>
      </c>
    </row>
    <row r="30" spans="2:8" x14ac:dyDescent="0.2">
      <c r="B30" s="73" t="s">
        <v>333</v>
      </c>
      <c r="C30" t="str">
        <f t="shared" ref="C30:C36" si="3">H20</f>
        <v>Aviva PRSA Option 6 - (APP/F/980/NS)</v>
      </c>
      <c r="H30" s="145" t="s">
        <v>304</v>
      </c>
    </row>
    <row r="31" spans="2:8" x14ac:dyDescent="0.2">
      <c r="B31" s="73" t="s">
        <v>334</v>
      </c>
      <c r="C31" t="str">
        <f t="shared" si="3"/>
        <v>Aviva PRSA Option 7 - (APP/F/981/NS)</v>
      </c>
      <c r="H31" s="145" t="s">
        <v>306</v>
      </c>
    </row>
    <row r="32" spans="2:8" ht="13.5" thickBot="1" x14ac:dyDescent="0.25">
      <c r="B32" s="73" t="s">
        <v>335</v>
      </c>
      <c r="C32" t="str">
        <f t="shared" si="3"/>
        <v>Aviva PRSA Option 8 - (APP/F/982/NS)</v>
      </c>
      <c r="H32" s="146" t="s">
        <v>307</v>
      </c>
    </row>
    <row r="33" spans="2:3" x14ac:dyDescent="0.2">
      <c r="B33" s="73" t="s">
        <v>336</v>
      </c>
      <c r="C33" t="str">
        <f t="shared" si="3"/>
        <v>Aviva PRSA Option 9 - (APP/F/983/NS)</v>
      </c>
    </row>
    <row r="34" spans="2:3" x14ac:dyDescent="0.2">
      <c r="B34" s="73" t="s">
        <v>337</v>
      </c>
      <c r="C34" t="str">
        <f t="shared" si="3"/>
        <v>Aviva PRSA Option 10 - (APP/F/984/NS)</v>
      </c>
    </row>
    <row r="35" spans="2:3" x14ac:dyDescent="0.2">
      <c r="B35" s="73" t="s">
        <v>338</v>
      </c>
      <c r="C35" t="str">
        <f t="shared" si="3"/>
        <v>Aviva PRSA Option 11 - (APP/F/985/NS)</v>
      </c>
    </row>
    <row r="36" spans="2:3" x14ac:dyDescent="0.2">
      <c r="B36" s="73" t="s">
        <v>339</v>
      </c>
      <c r="C36" t="str">
        <f t="shared" si="3"/>
        <v>Aviva PRSA Option 12 - (APP/F/986/NS)</v>
      </c>
    </row>
    <row r="37" spans="2:3" x14ac:dyDescent="0.2">
      <c r="B37" s="73" t="s">
        <v>340</v>
      </c>
      <c r="C37" t="str">
        <f>H26</f>
        <v>Aviva PRSA Option 12 - (APP/F/986/NS)</v>
      </c>
    </row>
    <row r="38" spans="2:3" x14ac:dyDescent="0.2">
      <c r="B38" s="73" t="s">
        <v>341</v>
      </c>
      <c r="C38" t="str">
        <f>H27</f>
        <v>Aviva PRSA Option 13 - (APP/F/987/NS)</v>
      </c>
    </row>
    <row r="39" spans="2:3" x14ac:dyDescent="0.2">
      <c r="B39" s="73" t="s">
        <v>342</v>
      </c>
      <c r="C39" t="str">
        <f t="shared" ref="C39:C44" si="4">H22</f>
        <v>Aviva PRSA Option 8 - (APP/F/982/NS)</v>
      </c>
    </row>
    <row r="40" spans="2:3" x14ac:dyDescent="0.2">
      <c r="B40" s="73" t="s">
        <v>343</v>
      </c>
      <c r="C40" t="str">
        <f t="shared" si="4"/>
        <v>Aviva PRSA Option 9 - (APP/F/983/NS)</v>
      </c>
    </row>
    <row r="41" spans="2:3" x14ac:dyDescent="0.2">
      <c r="B41" s="73" t="s">
        <v>344</v>
      </c>
      <c r="C41" t="str">
        <f t="shared" si="4"/>
        <v>Aviva PRSA Option 10 - (APP/F/984/NS)</v>
      </c>
    </row>
    <row r="42" spans="2:3" x14ac:dyDescent="0.2">
      <c r="B42" s="73" t="s">
        <v>345</v>
      </c>
      <c r="C42" t="str">
        <f t="shared" si="4"/>
        <v>Aviva PRSA Option 11 - (APP/F/985/NS)</v>
      </c>
    </row>
    <row r="43" spans="2:3" x14ac:dyDescent="0.2">
      <c r="B43" s="73" t="s">
        <v>346</v>
      </c>
      <c r="C43" t="str">
        <f t="shared" si="4"/>
        <v>Aviva PRSA Option 12 - (APP/F/986/NS)</v>
      </c>
    </row>
    <row r="44" spans="2:3" x14ac:dyDescent="0.2">
      <c r="B44" s="73" t="s">
        <v>347</v>
      </c>
      <c r="C44" t="str">
        <f t="shared" si="4"/>
        <v>Aviva PRSA Option 13 - (APP/F/987/NS)</v>
      </c>
    </row>
  </sheetData>
  <autoFilter ref="L2:L13" xr:uid="{481194CD-F1AB-4859-BA33-D3271B589390}"/>
  <conditionalFormatting sqref="L19:L1048576 L1:L14">
    <cfRule type="duplicateValues" dxfId="0" priority="28"/>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4e4f26-1199-486c-b7fe-bd652cf6975f" xsi:nil="true"/>
    <lcf76f155ced4ddcb4097134ff3c332f xmlns="e5aae344-73f1-42a7-b40c-28ed941c39f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B9AB987EDCEF43B7E74B3DB228523A" ma:contentTypeVersion="4" ma:contentTypeDescription="Create a new document." ma:contentTypeScope="" ma:versionID="f2f22e033c4c59a910cf0e66195051ff">
  <xsd:schema xmlns:xsd="http://www.w3.org/2001/XMLSchema" xmlns:xs="http://www.w3.org/2001/XMLSchema" xmlns:p="http://schemas.microsoft.com/office/2006/metadata/properties" xmlns:ns2="43352774-23f9-4011-bbda-82818037ae39" xmlns:ns3="a35a8576-95ee-4802-9c3c-2df47ce4e4ae" xmlns:ns4="e5aae344-73f1-42a7-b40c-28ed941c39f2" xmlns:ns5="094e4f26-1199-486c-b7fe-bd652cf6975f" targetNamespace="http://schemas.microsoft.com/office/2006/metadata/properties" ma:root="true" ma:fieldsID="140a159dd79b922a6b92b49beb806700" ns2:_="" ns3:_="" ns4:_="" ns5:_="">
    <xsd:import namespace="43352774-23f9-4011-bbda-82818037ae39"/>
    <xsd:import namespace="a35a8576-95ee-4802-9c3c-2df47ce4e4ae"/>
    <xsd:import namespace="e5aae344-73f1-42a7-b40c-28ed941c39f2"/>
    <xsd:import namespace="094e4f26-1199-486c-b7fe-bd652cf6975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SearchProperties"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352774-23f9-4011-bbda-82818037ae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5a8576-95ee-4802-9c3c-2df47ce4e4a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aae344-73f1-42a7-b40c-28ed941c39f2" elementFormDefault="qualified">
    <xsd:import namespace="http://schemas.microsoft.com/office/2006/documentManagement/types"/>
    <xsd:import namespace="http://schemas.microsoft.com/office/infopath/2007/PartnerControls"/>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9fa9688-5a84-4443-b4e4-818e154da96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94e4f26-1199-486c-b7fe-bd652cf6975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fb31c75-6ce3-46bc-abd0-fb1a7885ba82}" ma:internalName="TaxCatchAll" ma:showField="CatchAllData" ma:web="094e4f26-1199-486c-b7fe-bd652cf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A0C098-71A9-4E03-94D8-D91D0A4F712F}">
  <ds:schemaRefs>
    <ds:schemaRef ds:uri="43352774-23f9-4011-bbda-82818037ae39"/>
    <ds:schemaRef ds:uri="http://schemas.microsoft.com/office/2006/metadata/properties"/>
    <ds:schemaRef ds:uri="http://schemas.microsoft.com/office/infopath/2007/PartnerControls"/>
    <ds:schemaRef ds:uri="http://purl.org/dc/elements/1.1/"/>
    <ds:schemaRef ds:uri="e5aae344-73f1-42a7-b40c-28ed941c39f2"/>
    <ds:schemaRef ds:uri="a35a8576-95ee-4802-9c3c-2df47ce4e4ae"/>
    <ds:schemaRef ds:uri="http://purl.org/dc/terms/"/>
    <ds:schemaRef ds:uri="http://purl.org/dc/dcmitype/"/>
    <ds:schemaRef ds:uri="http://schemas.microsoft.com/office/2006/documentManagement/types"/>
    <ds:schemaRef ds:uri="http://schemas.openxmlformats.org/package/2006/metadata/core-properties"/>
    <ds:schemaRef ds:uri="094e4f26-1199-486c-b7fe-bd652cf6975f"/>
    <ds:schemaRef ds:uri="http://www.w3.org/XML/1998/namespace"/>
  </ds:schemaRefs>
</ds:datastoreItem>
</file>

<file path=customXml/itemProps2.xml><?xml version="1.0" encoding="utf-8"?>
<ds:datastoreItem xmlns:ds="http://schemas.openxmlformats.org/officeDocument/2006/customXml" ds:itemID="{C5F5A792-5446-44D7-9E68-20EB5DA779BD}">
  <ds:schemaRefs>
    <ds:schemaRef ds:uri="http://schemas.microsoft.com/sharepoint/v3/contenttype/forms"/>
  </ds:schemaRefs>
</ds:datastoreItem>
</file>

<file path=customXml/itemProps3.xml><?xml version="1.0" encoding="utf-8"?>
<ds:datastoreItem xmlns:ds="http://schemas.openxmlformats.org/officeDocument/2006/customXml" ds:itemID="{DBEB6E5E-29E8-4C14-9515-789051FBF9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352774-23f9-4011-bbda-82818037ae39"/>
    <ds:schemaRef ds:uri="a35a8576-95ee-4802-9c3c-2df47ce4e4ae"/>
    <ds:schemaRef ds:uri="e5aae344-73f1-42a7-b40c-28ed941c39f2"/>
    <ds:schemaRef ds:uri="094e4f26-1199-486c-b7fe-bd652cf697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PRSA Transfer Form</vt:lpstr>
      <vt:lpstr>Blank Cells</vt:lpstr>
      <vt:lpstr>AMC</vt:lpstr>
      <vt:lpstr>Providers</vt:lpstr>
      <vt:lpstr>Aviva Comission</vt:lpstr>
      <vt:lpstr>'PRSA Transfer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Sharpe</dc:creator>
  <cp:keywords/>
  <dc:description/>
  <cp:lastModifiedBy>John Lynch (LCP Ireland)</cp:lastModifiedBy>
  <cp:revision/>
  <dcterms:created xsi:type="dcterms:W3CDTF">2024-08-26T12:06:37Z</dcterms:created>
  <dcterms:modified xsi:type="dcterms:W3CDTF">2025-01-10T10:41:58Z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0x01010092B9AB987EDCEF43B7E74B3DB228523A</vt:lpwstr>
  </property>
  <property fmtid="{D5CDD505-2E9C-101B-9397-08002B2CF9AE}" pid="3" name="MediaServiceImageTags">
    <vt:lpwstr/>
  </property>
</Properties>
</file>